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20" tabRatio="826" firstSheet="3" activeTab="4"/>
  </bookViews>
  <sheets>
    <sheet name="15年总表" sheetId="13" state="hidden" r:id="rId1"/>
    <sheet name="克拉克" sheetId="1" state="hidden" r:id="rId2"/>
    <sheet name="2个月预收款" sheetId="26" state="hidden" r:id="rId3"/>
    <sheet name="数据表" sheetId="52" r:id="rId4"/>
    <sheet name="分析图表1" sheetId="49" r:id="rId5"/>
    <sheet name="分析图表2" sheetId="53" r:id="rId6"/>
    <sheet name="分析图表3" sheetId="54" r:id="rId7"/>
    <sheet name="上海现大" sheetId="6" state="hidden" r:id="rId8"/>
    <sheet name="太平洋" sheetId="15" state="hidden" r:id="rId9"/>
    <sheet name="元映贸易" sheetId="8" state="hidden" r:id="rId10"/>
    <sheet name="东明" sheetId="14" state="hidden" r:id="rId11"/>
    <sheet name="三一 " sheetId="9" state="hidden" r:id="rId12"/>
    <sheet name="青岛乐星" sheetId="4" state="hidden" r:id="rId13"/>
    <sheet name="无锡裕中" sheetId="7" state="hidden" r:id="rId14"/>
    <sheet name="内部资料1" sheetId="30" state="hidden" r:id="rId15"/>
    <sheet name="克拉克1" sheetId="27" state="hidden" r:id="rId16"/>
    <sheet name="四川现代1" sheetId="31" state="hidden" r:id="rId17"/>
    <sheet name="四川DYMOS" sheetId="32" state="hidden" r:id="rId18"/>
  </sheets>
  <externalReferences>
    <externalReference r:id="rId19"/>
  </externalReferences>
  <definedNames>
    <definedName name="_xlnm._FilterDatabase" localSheetId="15" hidden="1">克拉克1!$A$4:$K$4</definedName>
    <definedName name="_xlnm.Print_Area" localSheetId="10">东明!$A$1:$J$25</definedName>
    <definedName name="_xlnm.Print_Area" localSheetId="4">分析图表1!$A$1:$L$21</definedName>
    <definedName name="_xlnm.Print_Area" localSheetId="5">分析图表2!$A$1:$N$23</definedName>
    <definedName name="_xlnm.Print_Area" localSheetId="1">克拉克!$A$1:$J$216</definedName>
    <definedName name="_xlnm.Print_Area" localSheetId="12">青岛乐星!$A$1:$J$71</definedName>
    <definedName name="_xlnm.Print_Area" localSheetId="11">'三一 '!$A$1:$AV$49</definedName>
    <definedName name="_xlnm.Print_Area" localSheetId="7">上海现大!$A$1:$H$75</definedName>
    <definedName name="_xlnm.Print_Titles" localSheetId="12">青岛乐星!$1:$2</definedName>
  </definedNames>
  <calcPr calcId="144525"/>
</workbook>
</file>

<file path=xl/sharedStrings.xml><?xml version="1.0" encoding="utf-8"?>
<sst xmlns="http://schemas.openxmlformats.org/spreadsheetml/2006/main" count="243">
  <si>
    <t>客户</t>
  </si>
  <si>
    <t>2014年结余</t>
  </si>
  <si>
    <t>2015年开票金额</t>
  </si>
  <si>
    <t>购买抵扣金额</t>
  </si>
  <si>
    <t>2015年收款金额</t>
  </si>
  <si>
    <t>2015年索赔金额</t>
  </si>
  <si>
    <t>应收款总金额</t>
  </si>
  <si>
    <t>应收款月份</t>
  </si>
  <si>
    <t>付款周期</t>
  </si>
  <si>
    <t>未支付金额</t>
  </si>
  <si>
    <t>备注</t>
  </si>
  <si>
    <t>湖南吉盛</t>
  </si>
  <si>
    <t>45天</t>
  </si>
  <si>
    <t>正常</t>
  </si>
  <si>
    <t>湘潭天汽模</t>
  </si>
  <si>
    <t>2015.8~2015.11</t>
  </si>
  <si>
    <t>客户付款延迟</t>
  </si>
  <si>
    <t>江苏现代威亚</t>
  </si>
  <si>
    <t>4个月</t>
  </si>
  <si>
    <t>日照DYMOS</t>
  </si>
  <si>
    <t>3个月</t>
  </si>
  <si>
    <t>青岛克拉克</t>
  </si>
  <si>
    <t>克拉克多扣不良索赔款</t>
  </si>
  <si>
    <t>四川现代</t>
  </si>
  <si>
    <t>四川DYMOS</t>
  </si>
  <si>
    <t>2014.12~2015.8</t>
  </si>
  <si>
    <t>S&amp;T</t>
  </si>
  <si>
    <t>无锡明和</t>
  </si>
  <si>
    <t>合计</t>
  </si>
  <si>
    <t>青岛克拉克应收款</t>
  </si>
  <si>
    <t>年份</t>
  </si>
  <si>
    <t>序号</t>
  </si>
  <si>
    <t>实际销售日期</t>
  </si>
  <si>
    <t>开票日期</t>
  </si>
  <si>
    <t>销售金额</t>
  </si>
  <si>
    <t>收款日期</t>
  </si>
  <si>
    <t>收款金额</t>
  </si>
  <si>
    <t>差异</t>
  </si>
  <si>
    <t>未收款</t>
  </si>
  <si>
    <t>09年</t>
  </si>
  <si>
    <t>09年小计</t>
  </si>
  <si>
    <t>10年</t>
  </si>
  <si>
    <t>2010-2-31</t>
  </si>
  <si>
    <t>10年小计</t>
  </si>
  <si>
    <t>11年</t>
  </si>
  <si>
    <t>11年小计</t>
  </si>
  <si>
    <t>12年</t>
  </si>
  <si>
    <t>补差额</t>
  </si>
  <si>
    <t>原单价</t>
  </si>
  <si>
    <t>新单价</t>
  </si>
  <si>
    <t>出口韩国克拉克,支付青岛克拉克配件费用.</t>
  </si>
  <si>
    <t>12年小计</t>
  </si>
  <si>
    <t>13年</t>
  </si>
  <si>
    <t>索赔</t>
  </si>
  <si>
    <t>小     计</t>
  </si>
  <si>
    <t>14年</t>
  </si>
  <si>
    <t>合     计</t>
  </si>
  <si>
    <t>预收款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</si>
  <si>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1月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</si>
  <si>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2月</t>
    </r>
  </si>
  <si>
    <t>1月</t>
  </si>
  <si>
    <t>数   据   表</t>
  </si>
  <si>
    <t>销售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</si>
  <si>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</si>
  <si>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</si>
  <si>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</si>
  <si>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</si>
  <si>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</si>
  <si>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</si>
  <si>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</si>
  <si>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</si>
  <si>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</si>
  <si>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</si>
  <si>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</si>
  <si>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客户1</t>
  </si>
  <si>
    <t>客户2</t>
  </si>
  <si>
    <t>客户3</t>
  </si>
  <si>
    <t>返品</t>
  </si>
  <si>
    <t>返品率</t>
  </si>
  <si>
    <t>平均</t>
  </si>
  <si>
    <t>发货</t>
  </si>
  <si>
    <t>趋势</t>
  </si>
  <si>
    <t>出库</t>
  </si>
  <si>
    <t>上海现大应收款（2011.4--）</t>
  </si>
  <si>
    <t>应收款</t>
  </si>
  <si>
    <t>小    计</t>
  </si>
  <si>
    <t>大一汽配（张家港）有限公司</t>
  </si>
  <si>
    <t>太平洋 应收款</t>
  </si>
  <si>
    <t>合    计</t>
  </si>
  <si>
    <t>元映贸易 应收款</t>
  </si>
  <si>
    <t>模具费</t>
  </si>
  <si>
    <t>合   计</t>
  </si>
  <si>
    <t>备注：请核对以上数据并回传我公司。传真号码：0512-82598118</t>
  </si>
  <si>
    <t>日本东明工程机械 应收款</t>
  </si>
  <si>
    <t>数量</t>
  </si>
  <si>
    <t>DICC-110810-01</t>
  </si>
  <si>
    <t>DICC-111210-01</t>
  </si>
  <si>
    <t>DICC-120101-01</t>
  </si>
  <si>
    <t>DICC-120105-01</t>
  </si>
  <si>
    <t>DICC-120201-01</t>
  </si>
  <si>
    <t>DICC-120310-01</t>
  </si>
  <si>
    <t>DICC-120403-01</t>
  </si>
  <si>
    <t>DICC-120507-01</t>
  </si>
  <si>
    <t>DICC-120509-01</t>
  </si>
  <si>
    <t>DICC-120609-01</t>
  </si>
  <si>
    <t>人民币:</t>
  </si>
  <si>
    <t>三一华威应收款</t>
  </si>
  <si>
    <t>物料编码</t>
  </si>
  <si>
    <t>图号</t>
  </si>
  <si>
    <t>含税单价(元)</t>
  </si>
  <si>
    <t>发货数量</t>
  </si>
  <si>
    <t>不良返品</t>
  </si>
  <si>
    <t>应开票数</t>
  </si>
  <si>
    <t>金额</t>
  </si>
  <si>
    <t>2011年</t>
  </si>
  <si>
    <t>11583982M</t>
  </si>
  <si>
    <t>支座铸坯SWT175A-2(M)</t>
  </si>
  <si>
    <t>11583983M</t>
  </si>
  <si>
    <t>侧盖铸坯SWT175A-3(M)</t>
  </si>
  <si>
    <t>11583987M</t>
  </si>
  <si>
    <t>左端盖铸坯SWZ175A-2(M)</t>
  </si>
  <si>
    <t>11583988M</t>
  </si>
  <si>
    <t>右端盖铸坯SWZ175A-3(M)</t>
  </si>
  <si>
    <t>10999960M</t>
  </si>
  <si>
    <t>左轴端盖铸坯SWZ190A-2(M)</t>
  </si>
  <si>
    <t>10999961M</t>
  </si>
  <si>
    <t>右轴端盖铸坯SWZ190A-3(M)</t>
  </si>
  <si>
    <t xml:space="preserve"> </t>
  </si>
  <si>
    <t>11029452M</t>
  </si>
  <si>
    <t>侧盖铸坯SWT190A-4(M)</t>
  </si>
  <si>
    <t>11358477M</t>
  </si>
  <si>
    <t>右轴端盖铸坯SWZ216A-2(M)</t>
  </si>
  <si>
    <t>11358478M</t>
  </si>
  <si>
    <t>左轴端盖铸坯SWZ216A-3(M)</t>
  </si>
  <si>
    <t>11358193M</t>
  </si>
  <si>
    <t>侧盖铸坯SWT216A-3(M)</t>
  </si>
  <si>
    <t>11260093M</t>
  </si>
  <si>
    <t>右端盖铸坯SWZ154A-2(M)</t>
  </si>
  <si>
    <t>11260094M</t>
  </si>
  <si>
    <t>左端盖铸坯SWZ154A-3(M)</t>
  </si>
  <si>
    <t>3月份合计</t>
  </si>
  <si>
    <t>小计</t>
  </si>
  <si>
    <t>2012年</t>
  </si>
  <si>
    <r>
      <rPr>
        <sz val="20"/>
        <rFont val="宋体"/>
        <charset val="134"/>
      </rPr>
      <t>13</t>
    </r>
    <r>
      <rPr>
        <sz val="20"/>
        <rFont val="方正舒体"/>
        <charset val="134"/>
      </rPr>
      <t>~</t>
    </r>
    <r>
      <rPr>
        <sz val="20"/>
        <rFont val="宋体"/>
        <charset val="134"/>
      </rPr>
      <t>15年</t>
    </r>
  </si>
  <si>
    <t>青岛乐星应收款</t>
  </si>
  <si>
    <t>开发费</t>
  </si>
  <si>
    <t>无锡裕中应收款</t>
  </si>
  <si>
    <t>索赔扣款</t>
  </si>
  <si>
    <t>15年</t>
  </si>
  <si>
    <t>销售收款明细表-1月</t>
  </si>
  <si>
    <t>区分</t>
  </si>
  <si>
    <t>销售情况</t>
  </si>
  <si>
    <t>应收款情况</t>
  </si>
  <si>
    <t>出库
金额</t>
  </si>
  <si>
    <t>返品
金额</t>
  </si>
  <si>
    <t>上期
结转</t>
  </si>
  <si>
    <t>本期开票</t>
  </si>
  <si>
    <t>本期应收款</t>
  </si>
  <si>
    <t>扣款索赔</t>
  </si>
  <si>
    <t>应收款金额</t>
  </si>
  <si>
    <t>实收金额</t>
  </si>
  <si>
    <t>接收日期</t>
  </si>
  <si>
    <t>索赔内容</t>
  </si>
  <si>
    <t>处理日期</t>
  </si>
  <si>
    <t>确认金额</t>
  </si>
  <si>
    <t>汽车</t>
  </si>
  <si>
    <t>吉利</t>
  </si>
  <si>
    <t>天汽模</t>
  </si>
  <si>
    <t>日照
DYMOS</t>
  </si>
  <si>
    <t>威亚</t>
  </si>
  <si>
    <t>四川
现代</t>
  </si>
  <si>
    <t>2015/8/2
2015/9/25</t>
  </si>
  <si>
    <t>2016/1/13
2016/1/27</t>
  </si>
  <si>
    <t>四川
DYMOS</t>
  </si>
  <si>
    <t>重装备</t>
  </si>
  <si>
    <t>克拉克</t>
  </si>
  <si>
    <t>2015/10/15
2015/10/30</t>
  </si>
  <si>
    <t>2016/1/15
2016/1/29</t>
  </si>
  <si>
    <t>DOOSAN</t>
  </si>
  <si>
    <t>其他</t>
  </si>
  <si>
    <t>明和</t>
  </si>
  <si>
    <t>DIC</t>
  </si>
  <si>
    <t>共计</t>
  </si>
  <si>
    <t>备注：</t>
  </si>
  <si>
    <t>青岛克拉克销售收款明细表</t>
  </si>
  <si>
    <t>月份</t>
  </si>
  <si>
    <t>出库情况</t>
  </si>
  <si>
    <t>开票详细</t>
  </si>
  <si>
    <t>应收货款</t>
  </si>
  <si>
    <t>品名</t>
  </si>
  <si>
    <t>单价
（含税）</t>
  </si>
  <si>
    <t>上月未结</t>
  </si>
  <si>
    <t>本月出库</t>
  </si>
  <si>
    <t>本月返品</t>
  </si>
  <si>
    <t>日期</t>
  </si>
  <si>
    <t>本月未结</t>
  </si>
  <si>
    <t>上期结转</t>
  </si>
  <si>
    <t>应收货款金额</t>
  </si>
  <si>
    <t>实收货款金额</t>
  </si>
  <si>
    <t>8051757A(S)</t>
  </si>
  <si>
    <t>TRANSAXLE ASSY-TA18 (SINGLE)</t>
  </si>
  <si>
    <t>多扣索赔</t>
  </si>
  <si>
    <t>8051758A(D)</t>
  </si>
  <si>
    <t>TRANSAXLE ASSY-TA18 (DUAL)</t>
  </si>
  <si>
    <t>多扣3-8月索赔金额</t>
  </si>
  <si>
    <t>8080294A(LS)</t>
  </si>
  <si>
    <t>TRANSAXLE ASSY-TA18 NEW</t>
  </si>
  <si>
    <t>8034540A(MS)</t>
  </si>
  <si>
    <t>TA30M TRANSAXLE KO-MI (SINGLE)</t>
  </si>
  <si>
    <t>8048558A(YS)</t>
  </si>
  <si>
    <t>TA30M TRANSAXLE KO-YA (SINGLE)</t>
  </si>
  <si>
    <t>8073246A(LS)</t>
  </si>
  <si>
    <t>TA30M TRANSAXLE LS</t>
  </si>
  <si>
    <t>8076198A(LD)</t>
  </si>
  <si>
    <t>TA30M TRANSAXLE LD</t>
  </si>
  <si>
    <t>8034543A(MD)</t>
  </si>
  <si>
    <t>TA30M TRANSAXLE KO-MI (DUAL)</t>
  </si>
  <si>
    <t>8048560A(YD)</t>
  </si>
  <si>
    <t>TA30M TRANSAXLE KO-YA (DUAL)</t>
  </si>
  <si>
    <t>四川现代销售收款明细表</t>
  </si>
  <si>
    <t>23127-84000</t>
  </si>
  <si>
    <t>GEAR CRANK SHAFT</t>
  </si>
  <si>
    <t>24210-84700</t>
  </si>
  <si>
    <t>GEAR ASSY CAMSHAFT</t>
  </si>
  <si>
    <t>24610-84AA0</t>
  </si>
  <si>
    <t>GEAR ASSY IDLER NO.1</t>
  </si>
  <si>
    <t>24620-84AA0</t>
  </si>
  <si>
    <t>GEAR ASSY IDLER NO.2</t>
  </si>
  <si>
    <t>24630-84000</t>
  </si>
  <si>
    <t>GEAR ASSY IDLER NO.3</t>
  </si>
  <si>
    <t>24640-84AA0</t>
  </si>
  <si>
    <t>GEAR ASSY IDLER NO.4</t>
  </si>
  <si>
    <t>24614-84700</t>
  </si>
  <si>
    <t>SHAFT IDLER NO.1</t>
  </si>
  <si>
    <t>24624-84000</t>
  </si>
  <si>
    <t>SHAFT IDLER NO.2</t>
  </si>
  <si>
    <t>24635-84000</t>
  </si>
  <si>
    <t>SHAFT ASSY IDLER NO.3</t>
  </si>
  <si>
    <t>24645-84000</t>
  </si>
  <si>
    <t>SHAFT ASSY IDLER NO.4</t>
  </si>
  <si>
    <t>四川DYMOS销售收款明细表</t>
  </si>
  <si>
    <t>2014-12-25~
2015-8-30</t>
  </si>
  <si>
    <t>付款延迟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</si>
</sst>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);[Red]\(#,##0.00\)"/>
    <numFmt numFmtId="177" formatCode="0_);[Red]\(0\)"/>
    <numFmt numFmtId="178" formatCode="#,##0.00_ "/>
    <numFmt numFmtId="179" formatCode="yyyy/m/d;@"/>
    <numFmt numFmtId="180" formatCode="#,##0.00_ ;[Red]\-#,##0.00\ "/>
    <numFmt numFmtId="181" formatCode="#,##0_);[Red]\(#,##0\)"/>
    <numFmt numFmtId="182" formatCode="_ * #,##0.00_ ;_ * \-#,##0.00_ ;_ * &quot;-&quot;_ ;_ @_ "/>
    <numFmt numFmtId="183" formatCode="_-* #,##0.00_-;\-* #,##0.00_-;_-* &quot;-&quot;??_-;_-@_-"/>
    <numFmt numFmtId="184" formatCode="m/d;@"/>
    <numFmt numFmtId="185" formatCode="#,##0_ "/>
    <numFmt numFmtId="186" formatCode="#,##0_ ;[Red]\-#,##0\ "/>
    <numFmt numFmtId="187" formatCode="0.0%"/>
  </numFmts>
  <fonts count="38">
    <font>
      <sz val="12"/>
      <name val="宋体"/>
      <charset val="134"/>
    </font>
    <font>
      <b/>
      <sz val="18"/>
      <name val="宋体"/>
      <charset val="134"/>
    </font>
    <font>
      <sz val="2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6"/>
      <name val="宋体"/>
      <charset val="134"/>
    </font>
    <font>
      <sz val="10"/>
      <color rgb="FFFF0000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sz val="12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name val="돋움"/>
      <charset val="129"/>
    </font>
    <font>
      <sz val="20"/>
      <name val="方正舒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8" borderId="6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7" fillId="12" borderId="65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6" applyNumberFormat="0" applyFill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6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28" borderId="7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1" fillId="28" borderId="68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29" borderId="71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0" borderId="7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0" borderId="7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/>
    <xf numFmtId="0" fontId="18" fillId="0" borderId="0">
      <alignment vertical="center"/>
    </xf>
    <xf numFmtId="43" fontId="3" fillId="0" borderId="0" applyFont="0" applyFill="0" applyBorder="0" applyAlignment="0" applyProtection="0"/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18" fillId="24" borderId="65" applyNumberFormat="0" applyFont="0" applyAlignment="0" applyProtection="0">
      <alignment vertical="center"/>
    </xf>
    <xf numFmtId="0" fontId="36" fillId="0" borderId="0"/>
  </cellStyleXfs>
  <cellXfs count="36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3" fontId="3" fillId="0" borderId="14" xfId="12" applyFont="1" applyBorder="1" applyAlignment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3" fillId="0" borderId="18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58" fontId="3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58" fontId="3" fillId="0" borderId="24" xfId="0" applyNumberFormat="1" applyFont="1" applyFill="1" applyBorder="1" applyAlignment="1">
      <alignment horizontal="center" vertical="center"/>
    </xf>
    <xf numFmtId="58" fontId="3" fillId="0" borderId="7" xfId="0" applyNumberFormat="1" applyFont="1" applyBorder="1" applyAlignment="1">
      <alignment horizontal="center" vertical="center"/>
    </xf>
    <xf numFmtId="58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77" fontId="5" fillId="0" borderId="9" xfId="0" applyNumberFormat="1" applyFont="1" applyBorder="1" applyAlignment="1">
      <alignment horizontal="center"/>
    </xf>
    <xf numFmtId="176" fontId="0" fillId="0" borderId="6" xfId="0" applyNumberFormat="1" applyFill="1" applyBorder="1" applyAlignment="1">
      <alignment horizontal="center" vertical="center"/>
    </xf>
    <xf numFmtId="179" fontId="0" fillId="0" borderId="26" xfId="0" applyNumberFormat="1" applyFill="1" applyBorder="1"/>
    <xf numFmtId="176" fontId="0" fillId="0" borderId="27" xfId="0" applyNumberFormat="1" applyFill="1" applyBorder="1"/>
    <xf numFmtId="179" fontId="0" fillId="0" borderId="28" xfId="0" applyNumberFormat="1" applyFill="1" applyBorder="1"/>
    <xf numFmtId="176" fontId="0" fillId="0" borderId="29" xfId="0" applyNumberFormat="1" applyFill="1" applyBorder="1" applyAlignment="1">
      <alignment horizontal="center" vertical="center"/>
    </xf>
    <xf numFmtId="179" fontId="0" fillId="0" borderId="30" xfId="0" applyNumberFormat="1" applyFill="1" applyBorder="1"/>
    <xf numFmtId="176" fontId="0" fillId="0" borderId="31" xfId="0" applyNumberFormat="1" applyFill="1" applyBorder="1"/>
    <xf numFmtId="179" fontId="0" fillId="0" borderId="32" xfId="0" applyNumberFormat="1" applyFill="1" applyBorder="1"/>
    <xf numFmtId="179" fontId="0" fillId="0" borderId="33" xfId="0" applyNumberFormat="1" applyFill="1" applyBorder="1"/>
    <xf numFmtId="176" fontId="0" fillId="0" borderId="34" xfId="0" applyNumberFormat="1" applyFill="1" applyBorder="1"/>
    <xf numFmtId="179" fontId="0" fillId="0" borderId="35" xfId="0" applyNumberFormat="1" applyFill="1" applyBorder="1"/>
    <xf numFmtId="177" fontId="6" fillId="0" borderId="24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6" fontId="0" fillId="0" borderId="36" xfId="0" applyNumberFormat="1" applyFill="1" applyBorder="1" applyAlignment="1">
      <alignment horizontal="center" vertical="center"/>
    </xf>
    <xf numFmtId="179" fontId="4" fillId="0" borderId="37" xfId="0" applyNumberFormat="1" applyFont="1" applyFill="1" applyBorder="1"/>
    <xf numFmtId="176" fontId="4" fillId="0" borderId="38" xfId="0" applyNumberFormat="1" applyFont="1" applyFill="1" applyBorder="1"/>
    <xf numFmtId="179" fontId="4" fillId="0" borderId="39" xfId="0" applyNumberFormat="1" applyFont="1" applyFill="1" applyBorder="1"/>
    <xf numFmtId="178" fontId="6" fillId="0" borderId="40" xfId="0" applyNumberFormat="1" applyFont="1" applyBorder="1" applyAlignment="1">
      <alignment horizontal="right"/>
    </xf>
    <xf numFmtId="178" fontId="6" fillId="0" borderId="18" xfId="0" applyNumberFormat="1" applyFont="1" applyBorder="1" applyAlignment="1">
      <alignment horizontal="right"/>
    </xf>
    <xf numFmtId="178" fontId="6" fillId="0" borderId="19" xfId="0" applyNumberFormat="1" applyFont="1" applyBorder="1" applyAlignment="1">
      <alignment horizontal="right"/>
    </xf>
    <xf numFmtId="176" fontId="4" fillId="0" borderId="41" xfId="0" applyNumberFormat="1" applyFont="1" applyFill="1" applyBorder="1"/>
    <xf numFmtId="179" fontId="4" fillId="0" borderId="42" xfId="0" applyNumberFormat="1" applyFont="1" applyFill="1" applyBorder="1"/>
    <xf numFmtId="176" fontId="4" fillId="0" borderId="42" xfId="0" applyNumberFormat="1" applyFont="1" applyFill="1" applyBorder="1"/>
    <xf numFmtId="58" fontId="0" fillId="0" borderId="0" xfId="0" applyNumberFormat="1"/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79" fontId="3" fillId="0" borderId="26" xfId="0" applyNumberFormat="1" applyFont="1" applyFill="1" applyBorder="1"/>
    <xf numFmtId="176" fontId="0" fillId="0" borderId="45" xfId="0" applyNumberFormat="1" applyFill="1" applyBorder="1"/>
    <xf numFmtId="179" fontId="0" fillId="0" borderId="27" xfId="0" applyNumberFormat="1" applyFill="1" applyBorder="1"/>
    <xf numFmtId="176" fontId="3" fillId="0" borderId="28" xfId="0" applyNumberFormat="1" applyFont="1" applyFill="1" applyBorder="1" applyAlignment="1">
      <alignment horizontal="center"/>
    </xf>
    <xf numFmtId="179" fontId="3" fillId="0" borderId="30" xfId="0" applyNumberFormat="1" applyFont="1" applyFill="1" applyBorder="1" applyAlignment="1">
      <alignment wrapText="1"/>
    </xf>
    <xf numFmtId="176" fontId="0" fillId="0" borderId="46" xfId="0" applyNumberFormat="1" applyFill="1" applyBorder="1"/>
    <xf numFmtId="179" fontId="0" fillId="0" borderId="31" xfId="0" applyNumberFormat="1" applyFill="1" applyBorder="1"/>
    <xf numFmtId="180" fontId="0" fillId="0" borderId="47" xfId="0" applyNumberFormat="1" applyFill="1" applyBorder="1" applyAlignment="1"/>
    <xf numFmtId="176" fontId="3" fillId="0" borderId="32" xfId="0" applyNumberFormat="1" applyFont="1" applyFill="1" applyBorder="1" applyAlignment="1">
      <alignment horizontal="center"/>
    </xf>
    <xf numFmtId="179" fontId="3" fillId="0" borderId="30" xfId="0" applyNumberFormat="1" applyFont="1" applyFill="1" applyBorder="1"/>
    <xf numFmtId="180" fontId="0" fillId="0" borderId="31" xfId="0" applyNumberFormat="1" applyFill="1" applyBorder="1" applyAlignment="1"/>
    <xf numFmtId="179" fontId="0" fillId="0" borderId="34" xfId="0" applyNumberFormat="1" applyFill="1" applyBorder="1"/>
    <xf numFmtId="176" fontId="3" fillId="0" borderId="35" xfId="0" applyNumberFormat="1" applyFont="1" applyFill="1" applyBorder="1" applyAlignment="1">
      <alignment horizontal="center"/>
    </xf>
    <xf numFmtId="176" fontId="0" fillId="0" borderId="48" xfId="0" applyNumberFormat="1" applyFill="1" applyBorder="1"/>
    <xf numFmtId="180" fontId="0" fillId="0" borderId="48" xfId="0" applyNumberFormat="1" applyFill="1" applyBorder="1"/>
    <xf numFmtId="176" fontId="4" fillId="0" borderId="49" xfId="0" applyNumberFormat="1" applyFont="1" applyFill="1" applyBorder="1"/>
    <xf numFmtId="179" fontId="4" fillId="0" borderId="38" xfId="0" applyNumberFormat="1" applyFont="1" applyFill="1" applyBorder="1"/>
    <xf numFmtId="176" fontId="4" fillId="0" borderId="39" xfId="0" applyNumberFormat="1" applyFont="1" applyFill="1" applyBorder="1"/>
    <xf numFmtId="180" fontId="4" fillId="0" borderId="42" xfId="0" applyNumberFormat="1" applyFont="1" applyFill="1" applyBorder="1"/>
    <xf numFmtId="0" fontId="1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28" xfId="0" applyNumberFormat="1" applyFill="1" applyBorder="1"/>
    <xf numFmtId="176" fontId="0" fillId="0" borderId="26" xfId="0" applyNumberFormat="1" applyFill="1" applyBorder="1"/>
    <xf numFmtId="176" fontId="0" fillId="0" borderId="9" xfId="0" applyNumberFormat="1" applyFill="1" applyBorder="1"/>
    <xf numFmtId="176" fontId="0" fillId="0" borderId="32" xfId="0" applyNumberFormat="1" applyFill="1" applyBorder="1"/>
    <xf numFmtId="176" fontId="0" fillId="0" borderId="30" xfId="0" applyNumberFormat="1" applyFill="1" applyBorder="1"/>
    <xf numFmtId="176" fontId="0" fillId="0" borderId="35" xfId="0" applyNumberFormat="1" applyFill="1" applyBorder="1"/>
    <xf numFmtId="176" fontId="0" fillId="0" borderId="33" xfId="0" applyNumberFormat="1" applyFill="1" applyBorder="1"/>
    <xf numFmtId="176" fontId="4" fillId="0" borderId="37" xfId="0" applyNumberFormat="1" applyFont="1" applyFill="1" applyBorder="1"/>
    <xf numFmtId="176" fontId="4" fillId="0" borderId="52" xfId="0" applyNumberFormat="1" applyFont="1" applyFill="1" applyBorder="1"/>
    <xf numFmtId="0" fontId="3" fillId="0" borderId="24" xfId="0" applyFont="1" applyBorder="1" applyAlignment="1">
      <alignment horizontal="center" vertical="center"/>
    </xf>
    <xf numFmtId="176" fontId="0" fillId="0" borderId="19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6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255"/>
    </xf>
    <xf numFmtId="178" fontId="7" fillId="0" borderId="7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Fill="1" applyBorder="1" applyAlignment="1">
      <alignment vertical="center"/>
    </xf>
    <xf numFmtId="58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180" fontId="8" fillId="0" borderId="7" xfId="0" applyNumberFormat="1" applyFont="1" applyFill="1" applyBorder="1" applyAlignment="1">
      <alignment vertical="center"/>
    </xf>
    <xf numFmtId="0" fontId="7" fillId="0" borderId="0" xfId="307" applyFont="1"/>
    <xf numFmtId="0" fontId="3" fillId="0" borderId="0" xfId="307"/>
    <xf numFmtId="43" fontId="0" fillId="0" borderId="0" xfId="309" applyFont="1"/>
    <xf numFmtId="0" fontId="9" fillId="0" borderId="0" xfId="307" applyFont="1" applyAlignment="1">
      <alignment horizontal="center" vertical="center" wrapText="1"/>
    </xf>
    <xf numFmtId="0" fontId="7" fillId="0" borderId="7" xfId="307" applyFont="1" applyBorder="1" applyAlignment="1">
      <alignment horizontal="center" vertical="center" wrapText="1"/>
    </xf>
    <xf numFmtId="14" fontId="7" fillId="0" borderId="7" xfId="307" applyNumberFormat="1" applyFont="1" applyBorder="1" applyAlignment="1">
      <alignment horizontal="center" vertical="center" wrapText="1"/>
    </xf>
    <xf numFmtId="43" fontId="7" fillId="0" borderId="7" xfId="309" applyFont="1" applyBorder="1" applyAlignment="1">
      <alignment horizontal="center" vertical="center" wrapText="1"/>
    </xf>
    <xf numFmtId="43" fontId="10" fillId="0" borderId="7" xfId="309" applyFont="1" applyBorder="1" applyAlignment="1">
      <alignment horizontal="center" vertical="center" wrapText="1"/>
    </xf>
    <xf numFmtId="0" fontId="7" fillId="0" borderId="7" xfId="307" applyNumberFormat="1" applyFont="1" applyBorder="1" applyAlignment="1">
      <alignment horizontal="center" vertical="center" wrapText="1"/>
    </xf>
    <xf numFmtId="43" fontId="7" fillId="0" borderId="0" xfId="12" applyFont="1"/>
    <xf numFmtId="0" fontId="7" fillId="0" borderId="14" xfId="307" applyFont="1" applyBorder="1" applyAlignment="1">
      <alignment horizontal="center" vertical="center" wrapText="1"/>
    </xf>
    <xf numFmtId="0" fontId="7" fillId="0" borderId="21" xfId="307" applyFont="1" applyBorder="1" applyAlignment="1">
      <alignment horizontal="center" vertical="center" wrapText="1"/>
    </xf>
    <xf numFmtId="0" fontId="7" fillId="0" borderId="43" xfId="307" applyFont="1" applyBorder="1" applyAlignment="1">
      <alignment horizontal="center" vertical="center" wrapText="1"/>
    </xf>
    <xf numFmtId="0" fontId="7" fillId="0" borderId="8" xfId="307" applyFont="1" applyBorder="1" applyAlignment="1">
      <alignment horizontal="center" vertical="center" wrapText="1"/>
    </xf>
    <xf numFmtId="43" fontId="7" fillId="0" borderId="7" xfId="309" applyFont="1" applyBorder="1" applyAlignment="1">
      <alignment horizontal="right" vertical="center" wrapText="1"/>
    </xf>
    <xf numFmtId="0" fontId="7" fillId="0" borderId="53" xfId="307" applyFont="1" applyBorder="1" applyAlignment="1">
      <alignment horizontal="center" vertical="center" wrapText="1"/>
    </xf>
    <xf numFmtId="43" fontId="10" fillId="0" borderId="7" xfId="309" applyFont="1" applyBorder="1" applyAlignment="1">
      <alignment horizontal="right" vertical="center" wrapText="1"/>
    </xf>
    <xf numFmtId="43" fontId="7" fillId="2" borderId="7" xfId="309" applyFont="1" applyFill="1" applyBorder="1" applyAlignment="1">
      <alignment horizontal="right" vertical="center" wrapText="1"/>
    </xf>
    <xf numFmtId="43" fontId="7" fillId="2" borderId="7" xfId="12" applyFont="1" applyFill="1" applyBorder="1" applyAlignment="1">
      <alignment horizontal="right" vertical="center" wrapText="1"/>
    </xf>
    <xf numFmtId="0" fontId="7" fillId="0" borderId="7" xfId="307" applyFont="1" applyBorder="1" applyAlignment="1">
      <alignment horizontal="right" vertical="center" wrapText="1"/>
    </xf>
    <xf numFmtId="0" fontId="7" fillId="0" borderId="12" xfId="307" applyFont="1" applyBorder="1" applyAlignment="1">
      <alignment horizontal="center" vertical="center" wrapText="1"/>
    </xf>
    <xf numFmtId="43" fontId="7" fillId="3" borderId="7" xfId="309" applyFont="1" applyFill="1" applyBorder="1" applyAlignment="1">
      <alignment horizontal="right" vertical="center" wrapText="1"/>
    </xf>
    <xf numFmtId="43" fontId="7" fillId="2" borderId="7" xfId="309" applyFont="1" applyFill="1" applyBorder="1" applyAlignment="1">
      <alignment horizontal="center" vertical="center" wrapText="1"/>
    </xf>
    <xf numFmtId="183" fontId="7" fillId="0" borderId="0" xfId="307" applyNumberFormat="1" applyFont="1"/>
    <xf numFmtId="31" fontId="3" fillId="0" borderId="0" xfId="307" applyNumberFormat="1" applyAlignment="1">
      <alignment horizontal="center"/>
    </xf>
    <xf numFmtId="0" fontId="3" fillId="0" borderId="0" xfId="307" applyAlignment="1">
      <alignment horizontal="center"/>
    </xf>
    <xf numFmtId="0" fontId="7" fillId="2" borderId="0" xfId="307" applyFont="1" applyFill="1"/>
    <xf numFmtId="184" fontId="3" fillId="0" borderId="0" xfId="307" applyNumberFormat="1"/>
    <xf numFmtId="0" fontId="7" fillId="2" borderId="7" xfId="307" applyFont="1" applyFill="1" applyBorder="1" applyAlignment="1">
      <alignment horizontal="center" vertical="center" wrapText="1"/>
    </xf>
    <xf numFmtId="0" fontId="11" fillId="0" borderId="8" xfId="307" applyFont="1" applyBorder="1" applyAlignment="1">
      <alignment horizontal="center" vertical="center" textRotation="255" wrapText="1"/>
    </xf>
    <xf numFmtId="177" fontId="7" fillId="0" borderId="7" xfId="307" applyNumberFormat="1" applyFont="1" applyBorder="1" applyAlignment="1">
      <alignment horizontal="center" vertical="center" wrapText="1"/>
    </xf>
    <xf numFmtId="0" fontId="11" fillId="0" borderId="53" xfId="307" applyFont="1" applyBorder="1" applyAlignment="1">
      <alignment horizontal="center" vertical="center" textRotation="255" wrapText="1"/>
    </xf>
    <xf numFmtId="0" fontId="7" fillId="2" borderId="8" xfId="307" applyFont="1" applyFill="1" applyBorder="1" applyAlignment="1">
      <alignment horizontal="center" vertical="center" wrapText="1"/>
    </xf>
    <xf numFmtId="0" fontId="12" fillId="2" borderId="23" xfId="307" applyFont="1" applyFill="1" applyBorder="1" applyAlignment="1">
      <alignment horizontal="center" vertical="center" wrapText="1"/>
    </xf>
    <xf numFmtId="0" fontId="12" fillId="2" borderId="13" xfId="307" applyFont="1" applyFill="1" applyBorder="1" applyAlignment="1">
      <alignment horizontal="center" vertical="center" wrapText="1"/>
    </xf>
    <xf numFmtId="177" fontId="7" fillId="2" borderId="8" xfId="307" applyNumberFormat="1" applyFont="1" applyFill="1" applyBorder="1" applyAlignment="1">
      <alignment horizontal="center" vertical="center" wrapText="1"/>
    </xf>
    <xf numFmtId="14" fontId="7" fillId="2" borderId="8" xfId="307" applyNumberFormat="1" applyFont="1" applyFill="1" applyBorder="1" applyAlignment="1">
      <alignment horizontal="center" vertical="center" wrapText="1"/>
    </xf>
    <xf numFmtId="14" fontId="7" fillId="2" borderId="7" xfId="307" applyNumberFormat="1" applyFont="1" applyFill="1" applyBorder="1" applyAlignment="1">
      <alignment horizontal="center" vertical="center" wrapText="1"/>
    </xf>
    <xf numFmtId="0" fontId="5" fillId="0" borderId="14" xfId="307" applyFont="1" applyBorder="1" applyAlignment="1">
      <alignment horizontal="center" vertical="center"/>
    </xf>
    <xf numFmtId="0" fontId="5" fillId="0" borderId="21" xfId="307" applyFont="1" applyBorder="1" applyAlignment="1">
      <alignment horizontal="center" vertical="center"/>
    </xf>
    <xf numFmtId="0" fontId="5" fillId="0" borderId="43" xfId="307" applyFont="1" applyBorder="1" applyAlignment="1">
      <alignment horizontal="center" vertical="center"/>
    </xf>
    <xf numFmtId="0" fontId="11" fillId="0" borderId="7" xfId="307" applyFont="1" applyBorder="1" applyAlignment="1">
      <alignment horizontal="center" vertical="center" textRotation="255" wrapText="1"/>
    </xf>
    <xf numFmtId="0" fontId="3" fillId="0" borderId="7" xfId="307" applyBorder="1"/>
    <xf numFmtId="0" fontId="0" fillId="0" borderId="7" xfId="0" applyBorder="1"/>
    <xf numFmtId="0" fontId="7" fillId="2" borderId="7" xfId="307" applyFont="1" applyFill="1" applyBorder="1" applyAlignment="1">
      <alignment horizontal="center"/>
    </xf>
    <xf numFmtId="177" fontId="7" fillId="0" borderId="7" xfId="307" applyNumberFormat="1" applyFont="1" applyBorder="1"/>
    <xf numFmtId="182" fontId="7" fillId="0" borderId="7" xfId="309" applyNumberFormat="1" applyFont="1" applyBorder="1" applyAlignment="1">
      <alignment horizontal="center" vertical="center" wrapText="1"/>
    </xf>
    <xf numFmtId="182" fontId="7" fillId="0" borderId="7" xfId="307" applyNumberFormat="1" applyFont="1" applyBorder="1" applyAlignment="1">
      <alignment horizontal="center" vertical="center" wrapText="1"/>
    </xf>
    <xf numFmtId="182" fontId="7" fillId="0" borderId="0" xfId="307" applyNumberFormat="1" applyFont="1"/>
    <xf numFmtId="177" fontId="7" fillId="3" borderId="7" xfId="307" applyNumberFormat="1" applyFont="1" applyFill="1" applyBorder="1"/>
    <xf numFmtId="177" fontId="7" fillId="3" borderId="0" xfId="307" applyNumberFormat="1" applyFont="1" applyFill="1" applyBorder="1"/>
    <xf numFmtId="43" fontId="7" fillId="0" borderId="7" xfId="309" applyNumberFormat="1" applyFont="1" applyBorder="1" applyAlignment="1">
      <alignment horizontal="center" vertical="center" wrapText="1"/>
    </xf>
    <xf numFmtId="184" fontId="7" fillId="2" borderId="7" xfId="307" applyNumberFormat="1" applyFont="1" applyFill="1" applyBorder="1"/>
    <xf numFmtId="183" fontId="7" fillId="0" borderId="7" xfId="307" applyNumberFormat="1" applyFont="1" applyBorder="1"/>
    <xf numFmtId="43" fontId="7" fillId="3" borderId="7" xfId="307" applyNumberFormat="1" applyFont="1" applyFill="1" applyBorder="1"/>
    <xf numFmtId="181" fontId="7" fillId="3" borderId="7" xfId="307" applyNumberFormat="1" applyFont="1" applyFill="1" applyBorder="1"/>
    <xf numFmtId="43" fontId="7" fillId="3" borderId="0" xfId="307" applyNumberFormat="1" applyFont="1" applyFill="1" applyBorder="1"/>
    <xf numFmtId="181" fontId="7" fillId="3" borderId="0" xfId="307" applyNumberFormat="1" applyFont="1" applyFill="1" applyBorder="1"/>
    <xf numFmtId="43" fontId="3" fillId="0" borderId="0" xfId="307" applyNumberFormat="1"/>
    <xf numFmtId="0" fontId="3" fillId="0" borderId="0" xfId="307" applyNumberFormat="1"/>
    <xf numFmtId="0" fontId="7" fillId="2" borderId="7" xfId="307" applyNumberFormat="1" applyFont="1" applyFill="1" applyBorder="1" applyAlignment="1">
      <alignment horizontal="center" vertical="center" wrapText="1"/>
    </xf>
    <xf numFmtId="43" fontId="7" fillId="2" borderId="7" xfId="309" applyNumberFormat="1" applyFont="1" applyFill="1" applyBorder="1" applyAlignment="1">
      <alignment horizontal="center" vertical="center" wrapText="1"/>
    </xf>
    <xf numFmtId="0" fontId="7" fillId="2" borderId="12" xfId="307" applyFont="1" applyFill="1" applyBorder="1" applyAlignment="1">
      <alignment horizontal="center" vertical="center" wrapText="1"/>
    </xf>
    <xf numFmtId="0" fontId="7" fillId="2" borderId="54" xfId="307" applyFont="1" applyFill="1" applyBorder="1" applyAlignment="1">
      <alignment horizontal="center" vertical="center" wrapText="1"/>
    </xf>
    <xf numFmtId="43" fontId="7" fillId="2" borderId="54" xfId="309" applyFont="1" applyFill="1" applyBorder="1" applyAlignment="1">
      <alignment horizontal="center" vertical="center" wrapText="1"/>
    </xf>
    <xf numFmtId="0" fontId="7" fillId="0" borderId="54" xfId="307" applyFont="1" applyBorder="1" applyAlignment="1">
      <alignment horizontal="center" vertical="center" wrapText="1"/>
    </xf>
    <xf numFmtId="43" fontId="7" fillId="0" borderId="54" xfId="309" applyFont="1" applyBorder="1" applyAlignment="1">
      <alignment horizontal="center" vertical="center" wrapText="1"/>
    </xf>
    <xf numFmtId="0" fontId="7" fillId="2" borderId="53" xfId="307" applyFont="1" applyFill="1" applyBorder="1" applyAlignment="1">
      <alignment horizontal="center" vertical="center" wrapText="1"/>
    </xf>
    <xf numFmtId="14" fontId="7" fillId="2" borderId="12" xfId="307" applyNumberFormat="1" applyFont="1" applyFill="1" applyBorder="1" applyAlignment="1">
      <alignment horizontal="center" vertical="center" wrapText="1"/>
    </xf>
    <xf numFmtId="0" fontId="7" fillId="2" borderId="12" xfId="307" applyNumberFormat="1" applyFont="1" applyFill="1" applyBorder="1" applyAlignment="1">
      <alignment horizontal="center" vertical="center" wrapText="1"/>
    </xf>
    <xf numFmtId="43" fontId="7" fillId="2" borderId="12" xfId="309" applyNumberFormat="1" applyFont="1" applyFill="1" applyBorder="1" applyAlignment="1">
      <alignment horizontal="center" vertical="center" wrapText="1"/>
    </xf>
    <xf numFmtId="14" fontId="7" fillId="0" borderId="12" xfId="307" applyNumberFormat="1" applyFont="1" applyBorder="1" applyAlignment="1">
      <alignment horizontal="center" vertical="center" wrapText="1"/>
    </xf>
    <xf numFmtId="43" fontId="7" fillId="0" borderId="12" xfId="309" applyFont="1" applyBorder="1" applyAlignment="1">
      <alignment horizontal="center" vertical="center" wrapText="1"/>
    </xf>
    <xf numFmtId="0" fontId="7" fillId="0" borderId="54" xfId="307" applyNumberFormat="1" applyFont="1" applyBorder="1" applyAlignment="1">
      <alignment horizontal="center" vertical="center" wrapText="1"/>
    </xf>
    <xf numFmtId="0" fontId="3" fillId="0" borderId="0" xfId="307" applyFont="1"/>
    <xf numFmtId="43" fontId="3" fillId="0" borderId="0" xfId="12" applyFont="1"/>
    <xf numFmtId="178" fontId="7" fillId="0" borderId="7" xfId="12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4" fontId="7" fillId="0" borderId="43" xfId="0" applyNumberFormat="1" applyFont="1" applyBorder="1" applyAlignment="1">
      <alignment vertical="center" wrapText="1"/>
    </xf>
    <xf numFmtId="43" fontId="7" fillId="0" borderId="7" xfId="12" applyFont="1" applyBorder="1" applyAlignment="1">
      <alignment horizontal="center" vertical="center" wrapText="1"/>
    </xf>
    <xf numFmtId="0" fontId="7" fillId="0" borderId="53" xfId="307" applyFont="1" applyBorder="1" applyAlignment="1">
      <alignment vertical="center" wrapText="1"/>
    </xf>
    <xf numFmtId="0" fontId="7" fillId="0" borderId="0" xfId="307" applyFont="1" applyBorder="1" applyAlignment="1">
      <alignment horizontal="center" vertical="center" wrapText="1"/>
    </xf>
    <xf numFmtId="43" fontId="7" fillId="0" borderId="0" xfId="309" applyFont="1" applyBorder="1" applyAlignment="1">
      <alignment horizontal="center" vertical="center" wrapText="1"/>
    </xf>
    <xf numFmtId="0" fontId="7" fillId="0" borderId="12" xfId="307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6" fontId="0" fillId="0" borderId="7" xfId="0" applyNumberFormat="1" applyBorder="1" applyAlignment="1">
      <alignment horizontal="center" vertical="center"/>
    </xf>
    <xf numFmtId="187" fontId="0" fillId="0" borderId="7" xfId="0" applyNumberFormat="1" applyBorder="1" applyAlignment="1">
      <alignment horizontal="center" vertical="center"/>
    </xf>
    <xf numFmtId="187" fontId="0" fillId="0" borderId="7" xfId="17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center"/>
    </xf>
    <xf numFmtId="187" fontId="0" fillId="6" borderId="0" xfId="17" applyNumberFormat="1" applyFont="1" applyFill="1" applyBorder="1" applyAlignment="1">
      <alignment horizontal="center"/>
    </xf>
    <xf numFmtId="0" fontId="3" fillId="6" borderId="57" xfId="0" applyFont="1" applyFill="1" applyBorder="1" applyAlignment="1">
      <alignment horizontal="center"/>
    </xf>
    <xf numFmtId="187" fontId="0" fillId="6" borderId="58" xfId="17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187" fontId="0" fillId="6" borderId="59" xfId="17" applyNumberFormat="1" applyFont="1" applyFill="1" applyBorder="1" applyAlignment="1">
      <alignment horizontal="center"/>
    </xf>
    <xf numFmtId="187" fontId="0" fillId="6" borderId="60" xfId="17" applyNumberFormat="1" applyFont="1" applyFill="1" applyBorder="1" applyAlignment="1">
      <alignment horizontal="center"/>
    </xf>
    <xf numFmtId="0" fontId="13" fillId="0" borderId="5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3" fontId="0" fillId="0" borderId="7" xfId="12" applyFont="1" applyBorder="1" applyAlignment="1">
      <alignment horizontal="center"/>
    </xf>
    <xf numFmtId="43" fontId="0" fillId="0" borderId="0" xfId="12" applyFont="1" applyAlignment="1">
      <alignment horizontal="center"/>
    </xf>
    <xf numFmtId="0" fontId="7" fillId="0" borderId="0" xfId="0" applyFont="1"/>
    <xf numFmtId="14" fontId="0" fillId="0" borderId="0" xfId="0" applyNumberFormat="1"/>
    <xf numFmtId="180" fontId="0" fillId="0" borderId="0" xfId="0" applyNumberFormat="1" applyAlignment="1">
      <alignment horizontal="right"/>
    </xf>
    <xf numFmtId="178" fontId="0" fillId="0" borderId="0" xfId="12" applyNumberFormat="1" applyFont="1" applyAlignment="1">
      <alignment horizontal="right"/>
    </xf>
    <xf numFmtId="43" fontId="0" fillId="0" borderId="0" xfId="12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80" fontId="7" fillId="0" borderId="7" xfId="0" applyNumberFormat="1" applyFont="1" applyBorder="1" applyAlignment="1">
      <alignment horizontal="center" vertical="center" wrapText="1"/>
    </xf>
    <xf numFmtId="180" fontId="7" fillId="0" borderId="7" xfId="12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 wrapText="1"/>
    </xf>
    <xf numFmtId="43" fontId="7" fillId="0" borderId="8" xfId="12" applyFont="1" applyBorder="1" applyAlignment="1">
      <alignment horizontal="center" vertical="center" wrapText="1"/>
    </xf>
    <xf numFmtId="180" fontId="7" fillId="0" borderId="8" xfId="12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3" fontId="7" fillId="0" borderId="3" xfId="12" applyFont="1" applyBorder="1" applyAlignment="1">
      <alignment horizontal="center" vertical="center" wrapText="1"/>
    </xf>
    <xf numFmtId="180" fontId="7" fillId="0" borderId="61" xfId="12" applyNumberFormat="1" applyFont="1" applyBorder="1" applyAlignment="1">
      <alignment horizontal="righ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180" fontId="7" fillId="0" borderId="53" xfId="12" applyNumberFormat="1" applyFont="1" applyBorder="1" applyAlignment="1">
      <alignment horizontal="righ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43" fontId="7" fillId="0" borderId="18" xfId="12" applyFont="1" applyBorder="1" applyAlignment="1">
      <alignment horizontal="center" vertical="center" wrapText="1"/>
    </xf>
    <xf numFmtId="180" fontId="7" fillId="0" borderId="62" xfId="12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14" fontId="7" fillId="0" borderId="59" xfId="0" applyNumberFormat="1" applyFont="1" applyBorder="1" applyAlignment="1">
      <alignment vertical="center" wrapText="1"/>
    </xf>
    <xf numFmtId="43" fontId="7" fillId="0" borderId="53" xfId="1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78" fontId="7" fillId="0" borderId="7" xfId="12" applyNumberFormat="1" applyFont="1" applyBorder="1" applyAlignment="1">
      <alignment horizontal="center" vertical="center" wrapText="1"/>
    </xf>
    <xf numFmtId="43" fontId="7" fillId="0" borderId="0" xfId="12" applyFont="1" applyAlignment="1">
      <alignment horizontal="right"/>
    </xf>
    <xf numFmtId="43" fontId="7" fillId="0" borderId="0" xfId="12" applyFont="1" applyBorder="1" applyAlignment="1">
      <alignment horizontal="right" vertical="center" wrapText="1"/>
    </xf>
    <xf numFmtId="14" fontId="7" fillId="0" borderId="0" xfId="0" applyNumberFormat="1" applyFont="1"/>
    <xf numFmtId="43" fontId="7" fillId="0" borderId="0" xfId="0" applyNumberFormat="1" applyFont="1"/>
    <xf numFmtId="178" fontId="7" fillId="0" borderId="8" xfId="12" applyNumberFormat="1" applyFont="1" applyBorder="1" applyAlignment="1">
      <alignment horizontal="right" vertical="center" wrapText="1"/>
    </xf>
    <xf numFmtId="178" fontId="7" fillId="0" borderId="3" xfId="12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8" fontId="7" fillId="0" borderId="18" xfId="12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178" fontId="7" fillId="3" borderId="18" xfId="12" applyNumberFormat="1" applyFont="1" applyFill="1" applyBorder="1" applyAlignment="1">
      <alignment horizontal="right" vertical="center" wrapText="1"/>
    </xf>
    <xf numFmtId="180" fontId="7" fillId="0" borderId="0" xfId="0" applyNumberFormat="1" applyFont="1"/>
    <xf numFmtId="178" fontId="7" fillId="0" borderId="53" xfId="12" applyNumberFormat="1" applyFont="1" applyBorder="1" applyAlignment="1">
      <alignment horizontal="right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43" fontId="7" fillId="0" borderId="12" xfId="12" applyFont="1" applyBorder="1" applyAlignment="1">
      <alignment horizontal="center" vertical="center" wrapText="1"/>
    </xf>
    <xf numFmtId="14" fontId="7" fillId="0" borderId="63" xfId="0" applyNumberFormat="1" applyFont="1" applyBorder="1" applyAlignment="1">
      <alignment horizontal="center" vertical="center" wrapText="1"/>
    </xf>
    <xf numFmtId="14" fontId="7" fillId="0" borderId="64" xfId="0" applyNumberFormat="1" applyFont="1" applyBorder="1" applyAlignment="1">
      <alignment horizontal="center" vertical="center" wrapText="1"/>
    </xf>
    <xf numFmtId="14" fontId="7" fillId="0" borderId="43" xfId="0" applyNumberFormat="1" applyFont="1" applyBorder="1" applyAlignment="1">
      <alignment horizontal="center" vertical="center" wrapText="1"/>
    </xf>
    <xf numFmtId="180" fontId="7" fillId="0" borderId="3" xfId="12" applyNumberFormat="1" applyFont="1" applyBorder="1" applyAlignment="1">
      <alignment horizontal="right" vertical="center" wrapText="1"/>
    </xf>
    <xf numFmtId="180" fontId="7" fillId="0" borderId="18" xfId="12" applyNumberFormat="1" applyFont="1" applyBorder="1" applyAlignment="1">
      <alignment horizontal="right" vertical="center" wrapText="1"/>
    </xf>
    <xf numFmtId="0" fontId="7" fillId="0" borderId="18" xfId="0" applyFont="1" applyBorder="1"/>
    <xf numFmtId="180" fontId="7" fillId="0" borderId="61" xfId="12" applyNumberFormat="1" applyFont="1" applyBorder="1" applyAlignment="1">
      <alignment horizontal="center" vertical="center" wrapText="1"/>
    </xf>
    <xf numFmtId="180" fontId="7" fillId="0" borderId="53" xfId="12" applyNumberFormat="1" applyFont="1" applyBorder="1" applyAlignment="1">
      <alignment horizontal="center" vertical="center" wrapText="1"/>
    </xf>
    <xf numFmtId="180" fontId="7" fillId="0" borderId="62" xfId="12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60" xfId="0" applyNumberFormat="1" applyFont="1" applyBorder="1" applyAlignment="1">
      <alignment horizontal="center" vertical="center" wrapText="1"/>
    </xf>
    <xf numFmtId="180" fontId="7" fillId="0" borderId="12" xfId="12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center" vertical="center" wrapText="1"/>
    </xf>
    <xf numFmtId="43" fontId="7" fillId="2" borderId="7" xfId="12" applyFont="1" applyFill="1" applyBorder="1" applyAlignment="1">
      <alignment horizontal="center" vertical="center" wrapText="1"/>
    </xf>
    <xf numFmtId="180" fontId="7" fillId="2" borderId="7" xfId="12" applyNumberFormat="1" applyFont="1" applyFill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78" fontId="7" fillId="0" borderId="12" xfId="12" applyNumberFormat="1" applyFont="1" applyBorder="1" applyAlignment="1">
      <alignment horizontal="right" vertical="center" wrapText="1"/>
    </xf>
    <xf numFmtId="178" fontId="7" fillId="0" borderId="0" xfId="0" applyNumberFormat="1" applyFont="1"/>
    <xf numFmtId="183" fontId="7" fillId="0" borderId="0" xfId="0" applyNumberFormat="1" applyFont="1"/>
    <xf numFmtId="4" fontId="7" fillId="0" borderId="7" xfId="0" applyNumberFormat="1" applyFont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43" fontId="7" fillId="3" borderId="7" xfId="12" applyFont="1" applyFill="1" applyBorder="1" applyAlignment="1">
      <alignment horizontal="center" vertical="center" wrapText="1"/>
    </xf>
    <xf numFmtId="180" fontId="7" fillId="3" borderId="7" xfId="12" applyNumberFormat="1" applyFont="1" applyFill="1" applyBorder="1" applyAlignment="1">
      <alignment horizontal="right" vertical="center" wrapText="1"/>
    </xf>
    <xf numFmtId="43" fontId="7" fillId="0" borderId="7" xfId="12" applyFont="1" applyFill="1" applyBorder="1" applyAlignment="1">
      <alignment horizontal="center" vertical="center" wrapText="1"/>
    </xf>
    <xf numFmtId="178" fontId="7" fillId="3" borderId="7" xfId="12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178" fontId="0" fillId="0" borderId="0" xfId="0" applyNumberFormat="1"/>
    <xf numFmtId="31" fontId="0" fillId="0" borderId="0" xfId="0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3" fontId="14" fillId="0" borderId="7" xfId="12" applyFont="1" applyBorder="1" applyAlignment="1">
      <alignment horizontal="center" vertical="center"/>
    </xf>
    <xf numFmtId="57" fontId="14" fillId="0" borderId="7" xfId="0" applyNumberFormat="1" applyFont="1" applyBorder="1" applyAlignment="1">
      <alignment horizontal="center" vertical="center"/>
    </xf>
    <xf numFmtId="43" fontId="14" fillId="0" borderId="7" xfId="0" applyNumberFormat="1" applyFont="1" applyBorder="1" applyAlignment="1">
      <alignment horizontal="center" vertical="center"/>
    </xf>
    <xf numFmtId="43" fontId="14" fillId="0" borderId="0" xfId="12" applyFont="1" applyAlignment="1">
      <alignment horizontal="center"/>
    </xf>
    <xf numFmtId="176" fontId="14" fillId="0" borderId="7" xfId="0" applyNumberFormat="1" applyFont="1" applyBorder="1" applyAlignment="1">
      <alignment horizontal="right" vertical="center"/>
    </xf>
    <xf numFmtId="178" fontId="14" fillId="0" borderId="7" xfId="0" applyNumberFormat="1" applyFont="1" applyBorder="1" applyAlignment="1">
      <alignment horizontal="center" vertical="center"/>
    </xf>
    <xf numFmtId="178" fontId="14" fillId="0" borderId="7" xfId="0" applyNumberFormat="1" applyFont="1" applyBorder="1" applyAlignment="1">
      <alignment horizontal="right" vertical="center"/>
    </xf>
    <xf numFmtId="178" fontId="14" fillId="0" borderId="7" xfId="0" applyNumberFormat="1" applyFont="1" applyBorder="1" applyAlignment="1">
      <alignment horizontal="center" vertical="center" wrapText="1"/>
    </xf>
    <xf numFmtId="183" fontId="14" fillId="0" borderId="0" xfId="0" applyNumberFormat="1" applyFont="1" applyAlignment="1">
      <alignment horizontal="center" vertical="center"/>
    </xf>
  </cellXfs>
  <cellStyles count="320">
    <cellStyle name="常规" xfId="0" builtinId="0"/>
    <cellStyle name="货币[0]" xfId="1" builtinId="7"/>
    <cellStyle name="20% - 强调文字颜色 1 2" xfId="2"/>
    <cellStyle name="40% - 强调文字颜色 2 16" xfId="3"/>
    <cellStyle name="20% - 强调文字颜色 1 15" xfId="4"/>
    <cellStyle name="20% - 强调文字颜色 3" xfId="5" builtinId="38"/>
    <cellStyle name="输入" xfId="6" builtinId="20"/>
    <cellStyle name="40% - 强调文字颜色 1 13" xfId="7"/>
    <cellStyle name="货币" xfId="8" builtinId="4"/>
    <cellStyle name="千位分隔[0]" xfId="9" builtinId="6"/>
    <cellStyle name="40% - 强调文字颜色 3" xfId="10" builtinId="39"/>
    <cellStyle name="差" xfId="11" builtinId="27"/>
    <cellStyle name="千位分隔" xfId="12" builtinId="3"/>
    <cellStyle name="40% - 着色 3 5" xfId="13"/>
    <cellStyle name="60% - 强调文字颜色 3" xfId="14" builtinId="40"/>
    <cellStyle name="超链接" xfId="15" builtinId="8"/>
    <cellStyle name="40% - 强调文字颜色 2 12" xfId="16"/>
    <cellStyle name="百分比" xfId="17" builtinId="5"/>
    <cellStyle name="20% - 强调文字颜色 1 11" xfId="18"/>
    <cellStyle name="已访问的超链接" xfId="19" builtinId="9"/>
    <cellStyle name="注释 13" xfId="20"/>
    <cellStyle name="常规 6" xfId="21"/>
    <cellStyle name="20% - 强调文字颜色 4 5" xfId="22"/>
    <cellStyle name="注释" xfId="23" builtinId="10"/>
    <cellStyle name="40% - 着色 3 4" xfId="24"/>
    <cellStyle name="40% - 强调文字颜色 3 9" xfId="25"/>
    <cellStyle name="60% - 强调文字颜色 2" xfId="26" builtinId="36"/>
    <cellStyle name="标题 4" xfId="27" builtinId="19"/>
    <cellStyle name="注释 5" xfId="28"/>
    <cellStyle name="警告文本" xfId="29" builtinId="11"/>
    <cellStyle name="40% - 强调文字颜色 3 10" xfId="30"/>
    <cellStyle name="标题" xfId="31" builtinId="15"/>
    <cellStyle name="解释性文本" xfId="32" builtinId="53"/>
    <cellStyle name="标题 1" xfId="33" builtinId="16"/>
    <cellStyle name="标题 2" xfId="34" builtinId="17"/>
    <cellStyle name="40% - 着色 3 3" xfId="35"/>
    <cellStyle name="40% - 强调文字颜色 3 8" xfId="36"/>
    <cellStyle name="60% - 强调文字颜色 1" xfId="37" builtinId="32"/>
    <cellStyle name="标题 3" xfId="38" builtinId="18"/>
    <cellStyle name="60% - 强调文字颜色 4" xfId="39" builtinId="44"/>
    <cellStyle name="输出" xfId="40" builtinId="21"/>
    <cellStyle name="40% - 强调文字颜色 3 11" xfId="41"/>
    <cellStyle name="20% - 强调文字颜色 2 10" xfId="42"/>
    <cellStyle name="20% - 强调文字颜色 4 16" xfId="43"/>
    <cellStyle name="计算" xfId="44" builtinId="22"/>
    <cellStyle name="40% - 强调文字颜色 4 2" xfId="45"/>
    <cellStyle name="20% - 着色 1 2" xfId="46"/>
    <cellStyle name="检查单元格" xfId="47" builtinId="23"/>
    <cellStyle name="20% - 强调文字颜色 1 5" xfId="48"/>
    <cellStyle name="20% - 强调文字颜色 6" xfId="49" builtinId="50"/>
    <cellStyle name="强调文字颜色 2" xfId="50" builtinId="33"/>
    <cellStyle name="40% - 着色 5 2" xfId="51"/>
    <cellStyle name="40% - 强调文字颜色 5 7" xfId="52"/>
    <cellStyle name="链接单元格" xfId="53" builtinId="24"/>
    <cellStyle name="40% - 强调文字颜色 6 5" xfId="54"/>
    <cellStyle name="20% - 着色 3 5" xfId="55"/>
    <cellStyle name="汇总" xfId="56" builtinId="25"/>
    <cellStyle name="好" xfId="57" builtinId="26"/>
    <cellStyle name="40% - 强调文字颜色 6 15" xfId="58"/>
    <cellStyle name="20% - 强调文字颜色 5 14" xfId="59"/>
    <cellStyle name="20% - 强调文字颜色 3 3" xfId="60"/>
    <cellStyle name="适中" xfId="61" builtinId="28"/>
    <cellStyle name="20% - 强调文字颜色 1 4" xfId="62"/>
    <cellStyle name="20% - 强调文字颜色 5" xfId="63" builtinId="46"/>
    <cellStyle name="强调文字颜色 1" xfId="64" builtinId="29"/>
    <cellStyle name="40% - 强调文字颜色 2 14" xfId="65"/>
    <cellStyle name="20% - 强调文字颜色 1 13" xfId="66"/>
    <cellStyle name="20% - 强调文字颜色 1" xfId="67" builtinId="30"/>
    <cellStyle name="40% - 强调文字颜色 1" xfId="68" builtinId="31"/>
    <cellStyle name="40% - 强调文字颜色 2 15" xfId="69"/>
    <cellStyle name="20% - 强调文字颜色 1 14" xfId="70"/>
    <cellStyle name="20% - 强调文字颜色 2" xfId="71" builtinId="34"/>
    <cellStyle name="40% - 强调文字颜色 2" xfId="72" builtinId="35"/>
    <cellStyle name="20% - 强调文字颜色 1 6" xfId="73"/>
    <cellStyle name="强调文字颜色 3" xfId="74" builtinId="37"/>
    <cellStyle name="20% - 强调文字颜色 1 7" xfId="75"/>
    <cellStyle name="强调文字颜色 4" xfId="76" builtinId="41"/>
    <cellStyle name="20% - 强调文字颜色 1 3" xfId="77"/>
    <cellStyle name="20% - 强调文字颜色 1 16" xfId="78"/>
    <cellStyle name="20% - 强调文字颜色 4" xfId="79" builtinId="42"/>
    <cellStyle name="40% - 强调文字颜色 4" xfId="80" builtinId="43"/>
    <cellStyle name="20% - 强调文字颜色 1 8" xfId="81"/>
    <cellStyle name="强调文字颜色 5" xfId="82" builtinId="45"/>
    <cellStyle name="40% - 强调文字颜色 5" xfId="83" builtinId="47"/>
    <cellStyle name="60% - 强调文字颜色 5" xfId="84" builtinId="48"/>
    <cellStyle name="20% - 强调文字颜色 1 9" xfId="85"/>
    <cellStyle name="强调文字颜色 6" xfId="86" builtinId="49"/>
    <cellStyle name="40% - 强调文字颜色 6" xfId="87" builtinId="51"/>
    <cellStyle name="60% - 强调文字颜色 6" xfId="88" builtinId="52"/>
    <cellStyle name="40% - 强调文字颜色 2 11" xfId="89"/>
    <cellStyle name="20% - 强调文字颜色 1 10" xfId="90"/>
    <cellStyle name="40% - 强调文字颜色 2 13" xfId="91"/>
    <cellStyle name="20% - 强调文字颜色 1 12" xfId="92"/>
    <cellStyle name="40% - 强调文字颜色 3 12" xfId="93"/>
    <cellStyle name="20% - 强调文字颜色 2 11" xfId="94"/>
    <cellStyle name="40% - 强调文字颜色 3 13" xfId="95"/>
    <cellStyle name="20% - 强调文字颜色 2 12" xfId="96"/>
    <cellStyle name="40% - 强调文字颜色 3 14" xfId="97"/>
    <cellStyle name="20% - 强调文字颜色 2 13" xfId="98"/>
    <cellStyle name="40% - 强调文字颜色 3 15" xfId="99"/>
    <cellStyle name="20% - 强调文字颜色 2 14" xfId="100"/>
    <cellStyle name="40% - 强调文字颜色 3 16" xfId="101"/>
    <cellStyle name="20% - 强调文字颜色 2 15" xfId="102"/>
    <cellStyle name="20% - 强调文字颜色 2 16" xfId="103"/>
    <cellStyle name="20% - 强调文字颜色 2 2" xfId="104"/>
    <cellStyle name="20% - 强调文字颜色 2 3" xfId="105"/>
    <cellStyle name="20% - 强调文字颜色 2 4" xfId="106"/>
    <cellStyle name="20% - 强调文字颜色 2 5" xfId="107"/>
    <cellStyle name="20% - 强调文字颜色 2 6" xfId="108"/>
    <cellStyle name="20% - 强调文字颜色 2 7" xfId="109"/>
    <cellStyle name="20% - 强调文字颜色 2 8" xfId="110"/>
    <cellStyle name="20% - 强调文字颜色 2 9" xfId="111"/>
    <cellStyle name="40% - 强调文字颜色 4 11" xfId="112"/>
    <cellStyle name="40% - 强调文字颜色 2 4" xfId="113"/>
    <cellStyle name="20% - 强调文字颜色 3 10" xfId="114"/>
    <cellStyle name="40% - 强调文字颜色 4 12" xfId="115"/>
    <cellStyle name="40% - 强调文字颜色 2 5" xfId="116"/>
    <cellStyle name="20% - 强调文字颜色 3 11" xfId="117"/>
    <cellStyle name="40% - 强调文字颜色 4 13" xfId="118"/>
    <cellStyle name="40% - 强调文字颜色 2 6" xfId="119"/>
    <cellStyle name="20% - 强调文字颜色 3 12" xfId="120"/>
    <cellStyle name="40% - 着色 2 2" xfId="121"/>
    <cellStyle name="40% - 强调文字颜色 4 14" xfId="122"/>
    <cellStyle name="40% - 强调文字颜色 2 7" xfId="123"/>
    <cellStyle name="20% - 强调文字颜色 3 13" xfId="124"/>
    <cellStyle name="40% - 着色 2 3" xfId="125"/>
    <cellStyle name="40% - 强调文字颜色 4 15" xfId="126"/>
    <cellStyle name="40% - 强调文字颜色 2 8" xfId="127"/>
    <cellStyle name="20% - 强调文字颜色 3 14" xfId="128"/>
    <cellStyle name="40% - 着色 2 4" xfId="129"/>
    <cellStyle name="40% - 强调文字颜色 4 16" xfId="130"/>
    <cellStyle name="40% - 强调文字颜色 2 9" xfId="131"/>
    <cellStyle name="20% - 强调文字颜色 3 15" xfId="132"/>
    <cellStyle name="40% - 着色 2 5" xfId="133"/>
    <cellStyle name="20% - 强调文字颜色 3 16" xfId="134"/>
    <cellStyle name="40% - 强调文字颜色 6 14" xfId="135"/>
    <cellStyle name="20% - 强调文字颜色 5 13" xfId="136"/>
    <cellStyle name="20% - 强调文字颜色 3 2" xfId="137"/>
    <cellStyle name="40% - 强调文字颜色 6 16" xfId="138"/>
    <cellStyle name="20% - 强调文字颜色 5 15" xfId="139"/>
    <cellStyle name="20% - 强调文字颜色 3 4" xfId="140"/>
    <cellStyle name="20% - 强调文字颜色 5 16" xfId="141"/>
    <cellStyle name="20% - 强调文字颜色 3 5" xfId="142"/>
    <cellStyle name="20% - 强调文字颜色 3 6" xfId="143"/>
    <cellStyle name="20% - 强调文字颜色 3 7" xfId="144"/>
    <cellStyle name="20% - 强调文字颜色 3 8" xfId="145"/>
    <cellStyle name="20% - 强调文字颜色 3 9" xfId="146"/>
    <cellStyle name="常规 20" xfId="147"/>
    <cellStyle name="常规 15" xfId="148"/>
    <cellStyle name="40% - 强调文字颜色 5 11" xfId="149"/>
    <cellStyle name="20% - 着色 4 4" xfId="150"/>
    <cellStyle name="20% - 强调文字颜色 4 10" xfId="151"/>
    <cellStyle name="常规 16" xfId="152"/>
    <cellStyle name="40% - 强调文字颜色 5 12" xfId="153"/>
    <cellStyle name="20% - 着色 4 5" xfId="154"/>
    <cellStyle name="20% - 强调文字颜色 4 11" xfId="155"/>
    <cellStyle name="常规 17" xfId="156"/>
    <cellStyle name="40% - 强调文字颜色 5 13" xfId="157"/>
    <cellStyle name="20% - 强调文字颜色 4 12" xfId="158"/>
    <cellStyle name="常规 18" xfId="159"/>
    <cellStyle name="40% - 强调文字颜色 5 14" xfId="160"/>
    <cellStyle name="20% - 强调文字颜色 4 13" xfId="161"/>
    <cellStyle name="常规 19" xfId="162"/>
    <cellStyle name="40% - 强调文字颜色 5 15" xfId="163"/>
    <cellStyle name="20% - 强调文字颜色 4 14" xfId="164"/>
    <cellStyle name="40% - 强调文字颜色 5 16" xfId="165"/>
    <cellStyle name="20% - 强调文字颜色 4 15" xfId="166"/>
    <cellStyle name="注释 10" xfId="167"/>
    <cellStyle name="常规 3" xfId="168"/>
    <cellStyle name="20% - 强调文字颜色 4 2" xfId="169"/>
    <cellStyle name="注释 11" xfId="170"/>
    <cellStyle name="常规 4" xfId="171"/>
    <cellStyle name="20% - 强调文字颜色 4 3" xfId="172"/>
    <cellStyle name="注释 12" xfId="173"/>
    <cellStyle name="常规 5" xfId="174"/>
    <cellStyle name="20% - 强调文字颜色 4 4" xfId="175"/>
    <cellStyle name="注释 14" xfId="176"/>
    <cellStyle name="常规 7" xfId="177"/>
    <cellStyle name="20% - 强调文字颜色 4 6" xfId="178"/>
    <cellStyle name="注释 20" xfId="179"/>
    <cellStyle name="注释 15" xfId="180"/>
    <cellStyle name="常规 8" xfId="181"/>
    <cellStyle name="20% - 强调文字颜色 4 7" xfId="182"/>
    <cellStyle name="注释 21" xfId="183"/>
    <cellStyle name="注释 16" xfId="184"/>
    <cellStyle name="常规 9" xfId="185"/>
    <cellStyle name="20% - 强调文字颜色 4 8" xfId="186"/>
    <cellStyle name="注释 17" xfId="187"/>
    <cellStyle name="20% - 强调文字颜色 4 9" xfId="188"/>
    <cellStyle name="40% - 强调文字颜色 6 11" xfId="189"/>
    <cellStyle name="20% - 强调文字颜色 5 10" xfId="190"/>
    <cellStyle name="40% - 强调文字颜色 6 12" xfId="191"/>
    <cellStyle name="20% - 强调文字颜色 5 11" xfId="192"/>
    <cellStyle name="40% - 强调文字颜色 6 13" xfId="193"/>
    <cellStyle name="20% - 强调文字颜色 5 12" xfId="194"/>
    <cellStyle name="20% - 强调文字颜色 5 2" xfId="195"/>
    <cellStyle name="20% - 强调文字颜色 5 3" xfId="196"/>
    <cellStyle name="20% - 强调文字颜色 5 4" xfId="197"/>
    <cellStyle name="20% - 强调文字颜色 5 5" xfId="198"/>
    <cellStyle name="20% - 强调文字颜色 5 6" xfId="199"/>
    <cellStyle name="20% - 强调文字颜色 5 7" xfId="200"/>
    <cellStyle name="20% - 强调文字颜色 5 8" xfId="201"/>
    <cellStyle name="20% - 强调文字颜色 5 9" xfId="202"/>
    <cellStyle name="20% - 强调文字颜色 6 10" xfId="203"/>
    <cellStyle name="20% - 强调文字颜色 6 11" xfId="204"/>
    <cellStyle name="20% - 强调文字颜色 6 12" xfId="205"/>
    <cellStyle name="20% - 强调文字颜色 6 13" xfId="206"/>
    <cellStyle name="20% - 强调文字颜色 6 14" xfId="207"/>
    <cellStyle name="20% - 强调文字颜色 6 15" xfId="208"/>
    <cellStyle name="20% - 强调文字颜色 6 16" xfId="209"/>
    <cellStyle name="20% - 强调文字颜色 6 2" xfId="210"/>
    <cellStyle name="20% - 强调文字颜色 6 3" xfId="211"/>
    <cellStyle name="20% - 强调文字颜色 6 4" xfId="212"/>
    <cellStyle name="20% - 强调文字颜色 6 5" xfId="213"/>
    <cellStyle name="20% - 强调文字颜色 6 6" xfId="214"/>
    <cellStyle name="20% - 强调文字颜色 6 7" xfId="215"/>
    <cellStyle name="20% - 强调文字颜色 6 8" xfId="216"/>
    <cellStyle name="20% - 强调文字颜色 6 9" xfId="217"/>
    <cellStyle name="40% - 强调文字颜色 4 3" xfId="218"/>
    <cellStyle name="20% - 着色 1 3" xfId="219"/>
    <cellStyle name="40% - 强调文字颜色 4 4" xfId="220"/>
    <cellStyle name="20% - 着色 1 4" xfId="221"/>
    <cellStyle name="40% - 强调文字颜色 4 5" xfId="222"/>
    <cellStyle name="20% - 着色 1 5" xfId="223"/>
    <cellStyle name="40% - 强调文字颜色 5 2" xfId="224"/>
    <cellStyle name="20% - 着色 2 2" xfId="225"/>
    <cellStyle name="40% - 强调文字颜色 5 3" xfId="226"/>
    <cellStyle name="20% - 着色 2 3" xfId="227"/>
    <cellStyle name="40% - 强调文字颜色 5 4" xfId="228"/>
    <cellStyle name="20% - 着色 2 4" xfId="229"/>
    <cellStyle name="40% - 强调文字颜色 5 5" xfId="230"/>
    <cellStyle name="20% - 着色 2 5" xfId="231"/>
    <cellStyle name="40% - 强调文字颜色 6 2" xfId="232"/>
    <cellStyle name="20% - 着色 3 2" xfId="233"/>
    <cellStyle name="40% - 强调文字颜色 6 3" xfId="234"/>
    <cellStyle name="20% - 着色 3 3" xfId="235"/>
    <cellStyle name="40% - 强调文字颜色 6 4" xfId="236"/>
    <cellStyle name="20% - 着色 3 4" xfId="237"/>
    <cellStyle name="常规 13" xfId="238"/>
    <cellStyle name="20% - 着色 4 2" xfId="239"/>
    <cellStyle name="常规 14" xfId="240"/>
    <cellStyle name="40% - 强调文字颜色 5 10" xfId="241"/>
    <cellStyle name="20% - 着色 4 3" xfId="242"/>
    <cellStyle name="20% - 着色 5 2" xfId="243"/>
    <cellStyle name="20% - 着色 5 3" xfId="244"/>
    <cellStyle name="20% - 着色 5 4" xfId="245"/>
    <cellStyle name="20% - 着色 5 5" xfId="246"/>
    <cellStyle name="20% - 着色 6 2" xfId="247"/>
    <cellStyle name="20% - 着色 6 3" xfId="248"/>
    <cellStyle name="20% - 着色 6 4" xfId="249"/>
    <cellStyle name="20% - 着色 6 5" xfId="250"/>
    <cellStyle name="40% - 强调文字颜色 1 10" xfId="251"/>
    <cellStyle name="40% - 强调文字颜色 1 11" xfId="252"/>
    <cellStyle name="40% - 强调文字颜色 1 12" xfId="253"/>
    <cellStyle name="40% - 强调文字颜色 1 14" xfId="254"/>
    <cellStyle name="40% - 强调文字颜色 1 15" xfId="255"/>
    <cellStyle name="40% - 强调文字颜色 1 16" xfId="256"/>
    <cellStyle name="40% - 强调文字颜色 1 2" xfId="257"/>
    <cellStyle name="40% - 强调文字颜色 1 3" xfId="258"/>
    <cellStyle name="40% - 强调文字颜色 1 4" xfId="259"/>
    <cellStyle name="40% - 强调文字颜色 1 5" xfId="260"/>
    <cellStyle name="40% - 强调文字颜色 1 6" xfId="261"/>
    <cellStyle name="40% - 着色 1 2" xfId="262"/>
    <cellStyle name="40% - 强调文字颜色 1 7" xfId="263"/>
    <cellStyle name="40% - 着色 1 3" xfId="264"/>
    <cellStyle name="40% - 强调文字颜色 1 8" xfId="265"/>
    <cellStyle name="40% - 着色 1 4" xfId="266"/>
    <cellStyle name="40% - 强调文字颜色 1 9" xfId="267"/>
    <cellStyle name="40% - 强调文字颜色 2 10" xfId="268"/>
    <cellStyle name="40% - 强调文字颜色 2 2" xfId="269"/>
    <cellStyle name="40% - 强调文字颜色 4 10" xfId="270"/>
    <cellStyle name="40% - 强调文字颜色 2 3" xfId="271"/>
    <cellStyle name="40% - 强调文字颜色 3 2" xfId="272"/>
    <cellStyle name="40% - 强调文字颜色 3 3" xfId="273"/>
    <cellStyle name="40% - 强调文字颜色 3 4" xfId="274"/>
    <cellStyle name="40% - 强调文字颜色 3 5" xfId="275"/>
    <cellStyle name="40% - 强调文字颜色 3 6" xfId="276"/>
    <cellStyle name="40% - 着色 3 2" xfId="277"/>
    <cellStyle name="40% - 强调文字颜色 3 7" xfId="278"/>
    <cellStyle name="40% - 强调文字颜色 4 6" xfId="279"/>
    <cellStyle name="40% - 着色 4 2" xfId="280"/>
    <cellStyle name="40% - 强调文字颜色 4 7" xfId="281"/>
    <cellStyle name="40% - 着色 4 3" xfId="282"/>
    <cellStyle name="40% - 强调文字颜色 4 8" xfId="283"/>
    <cellStyle name="40% - 着色 4 4" xfId="284"/>
    <cellStyle name="40% - 强调文字颜色 4 9" xfId="285"/>
    <cellStyle name="40% - 强调文字颜色 5 6" xfId="286"/>
    <cellStyle name="40% - 着色 5 3" xfId="287"/>
    <cellStyle name="40% - 强调文字颜色 5 8" xfId="288"/>
    <cellStyle name="40% - 着色 5 4" xfId="289"/>
    <cellStyle name="40% - 强调文字颜色 5 9" xfId="290"/>
    <cellStyle name="40% - 强调文字颜色 6 10" xfId="291"/>
    <cellStyle name="40% - 强调文字颜色 6 6" xfId="292"/>
    <cellStyle name="40% - 着色 6 2" xfId="293"/>
    <cellStyle name="40% - 强调文字颜色 6 7" xfId="294"/>
    <cellStyle name="40% - 着色 6 3" xfId="295"/>
    <cellStyle name="40% - 强调文字颜色 6 8" xfId="296"/>
    <cellStyle name="40% - 着色 6 4" xfId="297"/>
    <cellStyle name="40% - 强调文字颜色 6 9" xfId="298"/>
    <cellStyle name="40% - 着色 1 5" xfId="299"/>
    <cellStyle name="40% - 着色 4 5" xfId="300"/>
    <cellStyle name="40% - 着色 5 5" xfId="301"/>
    <cellStyle name="40% - 着色 6 5" xfId="302"/>
    <cellStyle name="标题 5" xfId="303"/>
    <cellStyle name="常规 10" xfId="304"/>
    <cellStyle name="常规 11" xfId="305"/>
    <cellStyle name="常规 12" xfId="306"/>
    <cellStyle name="常规 2" xfId="307"/>
    <cellStyle name="常规 27" xfId="308"/>
    <cellStyle name="千位分隔 2" xfId="309"/>
    <cellStyle name="注释 18" xfId="310"/>
    <cellStyle name="注释 19" xfId="311"/>
    <cellStyle name="注释 2" xfId="312"/>
    <cellStyle name="注释 3" xfId="313"/>
    <cellStyle name="注释 4" xfId="314"/>
    <cellStyle name="注释 6" xfId="315"/>
    <cellStyle name="注释 7" xfId="316"/>
    <cellStyle name="注释 8" xfId="317"/>
    <cellStyle name="注释 9" xfId="318"/>
    <cellStyle name="표준_중국공장용 견적" xfId="31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2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2000"/>
              <a:t>2017</a:t>
            </a:r>
            <a:r>
              <a:rPr lang="zh-CN" altLang="en-US" sz="2000"/>
              <a:t>年出库不良</a:t>
            </a:r>
            <a:endParaRPr lang="en-US" altLang="zh-CN" sz="2000"/>
          </a:p>
        </c:rich>
      </c:tx>
      <c:layout>
        <c:manualLayout>
          <c:xMode val="edge"/>
          <c:yMode val="edge"/>
          <c:x val="0.61987659610091"/>
          <c:y val="0.0126682501979414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759622694222046"/>
          <c:y val="0.245905773406231"/>
          <c:w val="0.773190041183616"/>
          <c:h val="0.666973256249947"/>
        </c:manualLayout>
      </c:layout>
      <c:pie3DChart>
        <c:varyColors val="1"/>
        <c:ser>
          <c:idx val="0"/>
          <c:order val="0"/>
          <c:tx>
            <c:strRef>
              <c:f>分析图表1!$A$20</c:f>
              <c:strCache>
                <c:ptCount val="1"/>
                <c:pt idx="0">
                  <c:v>合计</c:v>
                </c:pt>
              </c:strCache>
            </c:strRef>
          </c:tx>
          <c:spPr>
            <a:ln>
              <a:noFill/>
            </a:ln>
          </c:spPr>
          <c:explosion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0.162047020241873"/>
                  <c:y val="-0.0380047505938242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zh-CN"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0513538748833"/>
                      <c:h val="0.23306772699924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318545547660201"/>
                  <c:y val="0.0442968560046384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zh-CN"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0902564102564102"/>
                      <c:h val="0.12798099762470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分析图表1!$B$16:$C$16</c:f>
              <c:strCache>
                <c:ptCount val="2"/>
                <c:pt idx="0">
                  <c:v>发货</c:v>
                </c:pt>
                <c:pt idx="1">
                  <c:v>返品</c:v>
                </c:pt>
              </c:strCache>
            </c:strRef>
          </c:cat>
          <c:val>
            <c:numRef>
              <c:f>分析图表1!$B$20:$C$20</c:f>
              <c:numCache>
                <c:formatCode>#,##0_ </c:formatCode>
                <c:ptCount val="2"/>
                <c:pt idx="0">
                  <c:v>16900</c:v>
                </c:pt>
                <c:pt idx="1" c:formatCode="#,##0_ ;[Red]\-#,##0\ ">
                  <c:v>308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931772375362"/>
          <c:y val="0.146051355231082"/>
          <c:w val="0.867068227624638"/>
          <c:h val="0.69563862769581"/>
        </c:manualLayout>
      </c:layout>
      <c:pie3D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1.62518384892291e-7"/>
                  <c:y val="-0.169971522681478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zh-CN"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8033205619413"/>
                      <c:h val="0.249656270595743"/>
                    </c:manualLayout>
                  </c15:layout>
                </c:ext>
              </c:extLst>
            </c:dLbl>
            <c:dLbl>
              <c:idx val="1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zh-CN"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5383346714418"/>
                      <c:h val="0.204117939802979"/>
                    </c:manualLayout>
                  </c15:layout>
                </c:ext>
              </c:extLst>
            </c:dLbl>
            <c:dLbl>
              <c:idx val="2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zh-CN"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196476915696"/>
                      <c:h val="0.18221658656304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分析图表1!$A$17:$A$19</c:f>
              <c:strCache>
                <c:ptCount val="3"/>
                <c:pt idx="0">
                  <c:v>客户1</c:v>
                </c:pt>
                <c:pt idx="1">
                  <c:v>客户2</c:v>
                </c:pt>
                <c:pt idx="2">
                  <c:v>客户3</c:v>
                </c:pt>
              </c:strCache>
            </c:strRef>
          </c:cat>
          <c:val>
            <c:numRef>
              <c:f>分析图表1!$C$17:$C$19</c:f>
              <c:numCache>
                <c:formatCode>#,##0_ ;[Red]\-#,##0\ </c:formatCode>
                <c:ptCount val="3"/>
                <c:pt idx="0">
                  <c:v>104</c:v>
                </c:pt>
                <c:pt idx="1">
                  <c:v>53</c:v>
                </c:pt>
                <c:pt idx="2">
                  <c:v>151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2400"/>
              <a:t>返品率趋势图</a:t>
            </a:r>
            <a:endParaRPr lang="zh-CN" altLang="en-US" sz="2400"/>
          </a:p>
        </c:rich>
      </c:tx>
      <c:layout>
        <c:manualLayout>
          <c:xMode val="edge"/>
          <c:yMode val="edge"/>
          <c:x val="0.401705882352942"/>
          <c:y val="0.075796706397090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09364265708397"/>
          <c:y val="0.075292661012388"/>
          <c:w val="0.863318096144022"/>
          <c:h val="0.843437669568394"/>
        </c:manualLayout>
      </c:layout>
      <c:lineChart>
        <c:grouping val="standard"/>
        <c:varyColors val="0"/>
        <c:ser>
          <c:idx val="0"/>
          <c:order val="0"/>
          <c:tx>
            <c:strRef>
              <c:f>分析图表2!$A$20</c:f>
              <c:strCache>
                <c:ptCount val="1"/>
                <c:pt idx="0">
                  <c:v>客户1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solidFill>
                <a:schemeClr val="l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分析图表2!$B$19:$M$19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分析图表2!$B$20:$M$20</c:f>
              <c:numCache>
                <c:formatCode>0.0%</c:formatCode>
                <c:ptCount val="12"/>
                <c:pt idx="0">
                  <c:v>0.1</c:v>
                </c:pt>
                <c:pt idx="1">
                  <c:v>0.04</c:v>
                </c:pt>
                <c:pt idx="2">
                  <c:v>0.03</c:v>
                </c:pt>
                <c:pt idx="3">
                  <c:v>0.0125</c:v>
                </c:pt>
                <c:pt idx="4">
                  <c:v>0.01</c:v>
                </c:pt>
                <c:pt idx="5">
                  <c:v>0.01</c:v>
                </c:pt>
                <c:pt idx="6">
                  <c:v>0.025</c:v>
                </c:pt>
                <c:pt idx="7">
                  <c:v>0.016</c:v>
                </c:pt>
                <c:pt idx="8">
                  <c:v>0.01</c:v>
                </c:pt>
                <c:pt idx="9">
                  <c:v>0.01</c:v>
                </c:pt>
                <c:pt idx="10">
                  <c:v>0.0155555555555556</c:v>
                </c:pt>
                <c:pt idx="11">
                  <c:v>0.02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分析图表2!$A$21</c:f>
              <c:strCache>
                <c:ptCount val="1"/>
                <c:pt idx="0">
                  <c:v>客户2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solidFill>
                <a:schemeClr val="lt1"/>
              </a:solidFill>
              <a:ln w="25400" cap="flat" cmpd="sng" algn="ctr">
                <a:solidFill>
                  <a:schemeClr val="accent2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分析图表2!$B$19:$M$19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分析图表2!$B$21:$M$21</c:f>
              <c:numCache>
                <c:formatCode>0.0%</c:formatCode>
                <c:ptCount val="12"/>
                <c:pt idx="0">
                  <c:v>0.015</c:v>
                </c:pt>
                <c:pt idx="1">
                  <c:v>0.0166666666666667</c:v>
                </c:pt>
                <c:pt idx="2">
                  <c:v>0.0166666666666667</c:v>
                </c:pt>
                <c:pt idx="3">
                  <c:v>0.008</c:v>
                </c:pt>
                <c:pt idx="4">
                  <c:v>0.0075</c:v>
                </c:pt>
                <c:pt idx="5">
                  <c:v>0.004</c:v>
                </c:pt>
                <c:pt idx="6">
                  <c:v>0.005</c:v>
                </c:pt>
                <c:pt idx="7">
                  <c:v>0.0128571428571429</c:v>
                </c:pt>
                <c:pt idx="8">
                  <c:v>0.00375</c:v>
                </c:pt>
                <c:pt idx="9">
                  <c:v>0.005</c:v>
                </c:pt>
                <c:pt idx="10">
                  <c:v>0.00555555555555556</c:v>
                </c:pt>
                <c:pt idx="11">
                  <c:v>0.00875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分析图表2!$A$22</c:f>
              <c:strCache>
                <c:ptCount val="1"/>
                <c:pt idx="0">
                  <c:v>客户3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solidFill>
                <a:schemeClr val="lt1"/>
              </a:solidFill>
              <a:ln w="25400" cap="flat" cmpd="sng" algn="ctr">
                <a:solidFill>
                  <a:schemeClr val="accent3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分析图表2!$B$19:$M$19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分析图表2!$B$22:$M$22</c:f>
              <c:numCache>
                <c:formatCode>0.0%</c:formatCode>
                <c:ptCount val="12"/>
                <c:pt idx="0">
                  <c:v>0.0366666666666667</c:v>
                </c:pt>
                <c:pt idx="1">
                  <c:v>0.06</c:v>
                </c:pt>
                <c:pt idx="2">
                  <c:v>0.0333333333333333</c:v>
                </c:pt>
                <c:pt idx="3">
                  <c:v>0.0266666666666667</c:v>
                </c:pt>
                <c:pt idx="4">
                  <c:v>0.075</c:v>
                </c:pt>
                <c:pt idx="5">
                  <c:v>0.0325</c:v>
                </c:pt>
                <c:pt idx="6">
                  <c:v>0.03</c:v>
                </c:pt>
                <c:pt idx="7">
                  <c:v>0.0366666666666667</c:v>
                </c:pt>
                <c:pt idx="8">
                  <c:v>0.0375</c:v>
                </c:pt>
                <c:pt idx="9">
                  <c:v>0.04</c:v>
                </c:pt>
                <c:pt idx="10">
                  <c:v>0.024</c:v>
                </c:pt>
                <c:pt idx="11">
                  <c:v>0.024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33008"/>
        <c:axId val="1281033400"/>
      </c:lineChart>
      <c:catAx>
        <c:axId val="128103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81033400"/>
        <c:crosses val="autoZero"/>
        <c:auto val="1"/>
        <c:lblAlgn val="ctr"/>
        <c:lblOffset val="100"/>
        <c:noMultiLvlLbl val="0"/>
      </c:catAx>
      <c:valAx>
        <c:axId val="128103340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8103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0697387658757"/>
          <c:y val="0.0585756235593755"/>
          <c:w val="0.0941945276009828"/>
          <c:h val="0.2426747416693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2000"/>
              <a:t>每月出库返品率</a:t>
            </a:r>
            <a:endParaRPr lang="zh-CN" sz="2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713751610194454"/>
          <c:y val="0.192059533734754"/>
          <c:w val="0.884122977090175"/>
          <c:h val="0.677009479697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分析图表3!$A$23</c:f>
              <c:strCache>
                <c:ptCount val="1"/>
                <c:pt idx="0">
                  <c:v>出库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分析图表3!$B$22:$M$22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分析图表3!$B$23:$M$23</c:f>
              <c:numCache>
                <c:formatCode>#,##0_ </c:formatCode>
                <c:ptCount val="12"/>
                <c:pt idx="0">
                  <c:v>600</c:v>
                </c:pt>
                <c:pt idx="1">
                  <c:v>700</c:v>
                </c:pt>
                <c:pt idx="2">
                  <c:v>900</c:v>
                </c:pt>
                <c:pt idx="3">
                  <c:v>1200</c:v>
                </c:pt>
                <c:pt idx="4">
                  <c:v>900</c:v>
                </c:pt>
                <c:pt idx="5">
                  <c:v>1300</c:v>
                </c:pt>
                <c:pt idx="6">
                  <c:v>1400</c:v>
                </c:pt>
                <c:pt idx="7">
                  <c:v>1500</c:v>
                </c:pt>
                <c:pt idx="8">
                  <c:v>1800</c:v>
                </c:pt>
                <c:pt idx="9">
                  <c:v>2000</c:v>
                </c:pt>
                <c:pt idx="10">
                  <c:v>2300</c:v>
                </c:pt>
                <c:pt idx="11">
                  <c:v>2300</c:v>
                </c:pt>
              </c:numCache>
            </c:numRef>
          </c:val>
        </c:ser>
        <c:ser>
          <c:idx val="1"/>
          <c:order val="1"/>
          <c:tx>
            <c:strRef>
              <c:f>分析图表3!$A$24</c:f>
              <c:strCache>
                <c:ptCount val="1"/>
                <c:pt idx="0">
                  <c:v>返品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分析图表3!$B$22:$M$22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分析图表3!$B$24:$M$24</c:f>
              <c:numCache>
                <c:formatCode>#,##0_ ;[Red]\-#,##0\ 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24</c:v>
                </c:pt>
                <c:pt idx="3">
                  <c:v>17</c:v>
                </c:pt>
                <c:pt idx="4">
                  <c:v>21</c:v>
                </c:pt>
                <c:pt idx="5">
                  <c:v>19</c:v>
                </c:pt>
                <c:pt idx="6">
                  <c:v>25</c:v>
                </c:pt>
                <c:pt idx="7">
                  <c:v>28</c:v>
                </c:pt>
                <c:pt idx="8">
                  <c:v>24</c:v>
                </c:pt>
                <c:pt idx="9">
                  <c:v>31</c:v>
                </c:pt>
                <c:pt idx="10">
                  <c:v>31</c:v>
                </c:pt>
                <c:pt idx="1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47772856"/>
        <c:axId val="1347771680"/>
      </c:barChart>
      <c:lineChart>
        <c:grouping val="standard"/>
        <c:varyColors val="0"/>
        <c:ser>
          <c:idx val="2"/>
          <c:order val="2"/>
          <c:tx>
            <c:strRef>
              <c:f>分析图表3!$A$25</c:f>
              <c:strCache>
                <c:ptCount val="1"/>
                <c:pt idx="0">
                  <c:v>返品率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gradFill rotWithShape="1">
                  <a:gsLst>
                    <a:gs pos="0">
                      <a:schemeClr val="accent3">
                        <a:shade val="51000"/>
                        <a:satMod val="130000"/>
                      </a:schemeClr>
                    </a:gs>
                    <a:gs pos="80000">
                      <a:schemeClr val="accent3">
                        <a:shade val="93000"/>
                        <a:satMod val="130000"/>
                      </a:schemeClr>
                    </a:gs>
                    <a:gs pos="100000">
                      <a:schemeClr val="accent3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9525">
                  <a:solidFill>
                    <a:schemeClr val="accent3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</c:dPt>
          <c:dPt>
            <c:idx val="1"/>
            <c:marker>
              <c:symbol val="circle"/>
              <c:size val="5"/>
              <c:spPr>
                <a:gradFill rotWithShape="1">
                  <a:gsLst>
                    <a:gs pos="0">
                      <a:schemeClr val="accent3">
                        <a:shade val="51000"/>
                        <a:satMod val="130000"/>
                      </a:schemeClr>
                    </a:gs>
                    <a:gs pos="80000">
                      <a:schemeClr val="accent3">
                        <a:shade val="93000"/>
                        <a:satMod val="130000"/>
                      </a:schemeClr>
                    </a:gs>
                    <a:gs pos="100000">
                      <a:schemeClr val="accent3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9525">
                  <a:solidFill>
                    <a:schemeClr val="accent3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</c:dPt>
          <c:dPt>
            <c:idx val="2"/>
            <c:marker>
              <c:symbol val="circle"/>
              <c:size val="5"/>
              <c:spPr>
                <a:gradFill rotWithShape="1">
                  <a:gsLst>
                    <a:gs pos="0">
                      <a:schemeClr val="accent3">
                        <a:shade val="51000"/>
                        <a:satMod val="130000"/>
                      </a:schemeClr>
                    </a:gs>
                    <a:gs pos="80000">
                      <a:schemeClr val="accent3">
                        <a:shade val="93000"/>
                        <a:satMod val="130000"/>
                      </a:schemeClr>
                    </a:gs>
                    <a:gs pos="100000">
                      <a:schemeClr val="accent3">
                        <a:shade val="94000"/>
                        <a:satMod val="135000"/>
                      </a:schemeClr>
                    </a:gs>
                  </a:gsLst>
                  <a:lin ang="16200000" scaled="0"/>
                </a:gradFill>
                <a:ln w="9525">
                  <a:solidFill>
                    <a:schemeClr val="accent3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  <a:scene3d>
                  <a:camera prst="orthographicFront">
                    <a:rot lat="0" lon="0" rev="0"/>
                  </a:camera>
                  <a:lightRig rig="threePt" dir="t">
                    <a:rot lat="0" lon="0" rev="1200000"/>
                  </a:lightRig>
                </a:scene3d>
                <a:sp3d>
                  <a:bevelT w="63500" h="25400"/>
                </a:sp3d>
              </c:spPr>
            </c:marker>
            <c:bubble3D val="0"/>
          </c:dPt>
          <c:dLbls>
            <c:spPr>
              <a:solidFill>
                <a:schemeClr val="lt1"/>
              </a:solidFill>
              <a:ln w="25400" cap="flat" cmpd="sng" algn="ctr">
                <a:solidFill>
                  <a:schemeClr val="accent3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分析图表3!$B$22:$M$22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分析图表3!$B$25:$M$25</c:f>
              <c:numCache>
                <c:formatCode>0.0%</c:formatCode>
                <c:ptCount val="12"/>
                <c:pt idx="0">
                  <c:v>0.04</c:v>
                </c:pt>
                <c:pt idx="1">
                  <c:v>0.0357142857142857</c:v>
                </c:pt>
                <c:pt idx="2">
                  <c:v>0.0266666666666667</c:v>
                </c:pt>
                <c:pt idx="3">
                  <c:v>0.0141666666666667</c:v>
                </c:pt>
                <c:pt idx="4">
                  <c:v>0.0233333333333333</c:v>
                </c:pt>
                <c:pt idx="5">
                  <c:v>0.0146153846153846</c:v>
                </c:pt>
                <c:pt idx="6">
                  <c:v>0.0178571428571429</c:v>
                </c:pt>
                <c:pt idx="7">
                  <c:v>0.0186666666666667</c:v>
                </c:pt>
                <c:pt idx="8">
                  <c:v>0.0133333333333333</c:v>
                </c:pt>
                <c:pt idx="9">
                  <c:v>0.0155</c:v>
                </c:pt>
                <c:pt idx="10">
                  <c:v>0.0134782608695652</c:v>
                </c:pt>
                <c:pt idx="11">
                  <c:v>0.0169565217391304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550915704"/>
        <c:axId val="1347771288"/>
      </c:lineChart>
      <c:catAx>
        <c:axId val="134777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347771680"/>
        <c:crosses val="autoZero"/>
        <c:auto val="1"/>
        <c:lblAlgn val="ctr"/>
        <c:lblOffset val="100"/>
        <c:noMultiLvlLbl val="0"/>
      </c:catAx>
      <c:valAx>
        <c:axId val="1347771680"/>
        <c:scaling>
          <c:orientation val="minMax"/>
        </c:scaling>
        <c:delete val="0"/>
        <c:axPos val="l"/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347772856"/>
        <c:crosses val="autoZero"/>
        <c:crossBetween val="between"/>
      </c:valAx>
      <c:catAx>
        <c:axId val="550915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347771288"/>
        <c:crosses val="autoZero"/>
        <c:auto val="1"/>
        <c:lblAlgn val="ctr"/>
        <c:lblOffset val="100"/>
        <c:noMultiLvlLbl val="0"/>
      </c:catAx>
      <c:valAx>
        <c:axId val="1347771288"/>
        <c:scaling>
          <c:orientation val="minMax"/>
          <c:max val="0.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091570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234705839636"/>
          <c:y val="0.105483155781998"/>
          <c:w val="0.0871249987032253"/>
          <c:h val="0.248142618536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9524</xdr:colOff>
      <xdr:row>0</xdr:row>
      <xdr:rowOff>0</xdr:rowOff>
    </xdr:from>
    <xdr:to>
      <xdr:col>6</xdr:col>
      <xdr:colOff>581024</xdr:colOff>
      <xdr:row>15</xdr:row>
      <xdr:rowOff>152400</xdr:rowOff>
    </xdr:to>
    <xdr:graphicFrame>
      <xdr:nvGraphicFramePr>
        <xdr:cNvPr id="3" name="图表 2"/>
        <xdr:cNvGraphicFramePr/>
      </xdr:nvGraphicFramePr>
      <xdr:xfrm>
        <a:off x="8890" y="0"/>
        <a:ext cx="5429250" cy="40100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695325</xdr:colOff>
      <xdr:row>10</xdr:row>
      <xdr:rowOff>104774</xdr:rowOff>
    </xdr:from>
    <xdr:to>
      <xdr:col>10</xdr:col>
      <xdr:colOff>495301</xdr:colOff>
      <xdr:row>21</xdr:row>
      <xdr:rowOff>219074</xdr:rowOff>
    </xdr:to>
    <xdr:graphicFrame>
      <xdr:nvGraphicFramePr>
        <xdr:cNvPr id="5" name="图表 4"/>
        <xdr:cNvGraphicFramePr/>
      </xdr:nvGraphicFramePr>
      <xdr:xfrm>
        <a:off x="5553075" y="2675890"/>
        <a:ext cx="3038475" cy="29432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307546</xdr:colOff>
      <xdr:row>11</xdr:row>
      <xdr:rowOff>188057</xdr:rowOff>
    </xdr:from>
    <xdr:to>
      <xdr:col>6</xdr:col>
      <xdr:colOff>714902</xdr:colOff>
      <xdr:row>14</xdr:row>
      <xdr:rowOff>7083</xdr:rowOff>
    </xdr:to>
    <xdr:sp>
      <xdr:nvSpPr>
        <xdr:cNvPr id="6" name="右箭头 5"/>
        <xdr:cNvSpPr/>
      </xdr:nvSpPr>
      <xdr:spPr>
        <a:xfrm rot="1225594">
          <a:off x="4355465" y="3016885"/>
          <a:ext cx="1216660" cy="590550"/>
        </a:xfrm>
        <a:prstGeom prst="rightArrow">
          <a:avLst>
            <a:gd name="adj1" fmla="val 36956"/>
            <a:gd name="adj2" fmla="val 60870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19050</xdr:colOff>
      <xdr:row>17</xdr:row>
      <xdr:rowOff>95249</xdr:rowOff>
    </xdr:to>
    <xdr:graphicFrame>
      <xdr:nvGraphicFramePr>
        <xdr:cNvPr id="2" name="图表 1"/>
        <xdr:cNvGraphicFramePr/>
      </xdr:nvGraphicFramePr>
      <xdr:xfrm>
        <a:off x="0" y="0"/>
        <a:ext cx="11353800" cy="38188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38100</xdr:colOff>
      <xdr:row>20</xdr:row>
      <xdr:rowOff>47625</xdr:rowOff>
    </xdr:to>
    <xdr:graphicFrame>
      <xdr:nvGraphicFramePr>
        <xdr:cNvPr id="2" name="图表 1"/>
        <xdr:cNvGraphicFramePr/>
      </xdr:nvGraphicFramePr>
      <xdr:xfrm>
        <a:off x="0" y="0"/>
        <a:ext cx="11372850" cy="40481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490;&#24544;&#21513;\D12.01-&#33829;&#19994;&#31649;&#29702;\2016\&#20986;&#20837;&#31649;&#29702;\&#20986;&#24211;&#24773;&#20917;\1\&#26679;&#24335;&#35843;&#259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판매계획"/>
      <sheetName val="出货计划"/>
      <sheetName val="返品实际"/>
      <sheetName val="分类周报"/>
      <sheetName val="分类周报 (2)"/>
      <sheetName val="分类周报 (3)"/>
      <sheetName val="分类周报 (4)"/>
      <sheetName val="月报"/>
      <sheetName val="汇总"/>
      <sheetName val="物流费"/>
    </sheetNames>
    <sheetDataSet>
      <sheetData sheetId="0"/>
      <sheetData sheetId="1">
        <row r="143">
          <cell r="D143" t="str">
            <v>43417T00500</v>
          </cell>
          <cell r="E143" t="str">
            <v>SHAFT-COUNTER</v>
          </cell>
        </row>
        <row r="145">
          <cell r="D145" t="str">
            <v>43551T00080</v>
          </cell>
          <cell r="E145" t="str">
            <v>CARRIER ASS'Y</v>
          </cell>
        </row>
        <row r="147">
          <cell r="D147" t="str">
            <v>43417T00530</v>
          </cell>
          <cell r="E147" t="str">
            <v>SHAFT-COUNTER</v>
          </cell>
        </row>
        <row r="149">
          <cell r="D149" t="str">
            <v>43551T00090</v>
          </cell>
          <cell r="E149" t="str">
            <v>CARRIER ASS'Y</v>
          </cell>
        </row>
        <row r="151">
          <cell r="D151" t="str">
            <v>43559T00020</v>
          </cell>
          <cell r="E151" t="str">
            <v>BODY-RING GEAR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M15"/>
  <sheetViews>
    <sheetView workbookViewId="0">
      <selection activeCell="G3" sqref="G3:G11"/>
    </sheetView>
  </sheetViews>
  <sheetFormatPr defaultColWidth="9" defaultRowHeight="14.25"/>
  <cols>
    <col min="1" max="1" width="13.875" style="357" customWidth="1"/>
    <col min="2" max="2" width="17.25" style="357" customWidth="1"/>
    <col min="3" max="3" width="18.375" style="357" customWidth="1"/>
    <col min="4" max="4" width="17.25" style="357" customWidth="1"/>
    <col min="5" max="5" width="18.375" style="357" customWidth="1"/>
    <col min="6" max="7" width="17.25" style="357" customWidth="1"/>
    <col min="8" max="8" width="15" style="357" customWidth="1"/>
    <col min="9" max="9" width="9.5" style="357" customWidth="1"/>
    <col min="10" max="10" width="16.125" style="357" customWidth="1"/>
    <col min="11" max="11" width="23.5" style="357" customWidth="1"/>
    <col min="12" max="12" width="9" style="357"/>
    <col min="13" max="13" width="16.125" style="357" customWidth="1"/>
    <col min="14" max="16384" width="9" style="357"/>
  </cols>
  <sheetData>
    <row r="2" s="356" customFormat="1" ht="36" customHeight="1" spans="1:11">
      <c r="A2" s="271" t="s">
        <v>0</v>
      </c>
      <c r="B2" s="271" t="s">
        <v>1</v>
      </c>
      <c r="C2" s="271" t="s">
        <v>2</v>
      </c>
      <c r="D2" s="271" t="s">
        <v>3</v>
      </c>
      <c r="E2" s="271" t="s">
        <v>4</v>
      </c>
      <c r="F2" s="271" t="s">
        <v>5</v>
      </c>
      <c r="G2" s="271" t="s">
        <v>6</v>
      </c>
      <c r="H2" s="271" t="s">
        <v>7</v>
      </c>
      <c r="I2" s="271" t="s">
        <v>8</v>
      </c>
      <c r="J2" s="271" t="s">
        <v>9</v>
      </c>
      <c r="K2" s="271" t="s">
        <v>10</v>
      </c>
    </row>
    <row r="3" s="356" customFormat="1" ht="36" customHeight="1" spans="1:11">
      <c r="A3" s="271" t="s">
        <v>11</v>
      </c>
      <c r="B3" s="358" t="e">
        <f>#REF!</f>
        <v>#REF!</v>
      </c>
      <c r="C3" s="358" t="e">
        <f>#REF!</f>
        <v>#REF!</v>
      </c>
      <c r="D3" s="358"/>
      <c r="E3" s="358" t="e">
        <f>#REF!</f>
        <v>#REF!</v>
      </c>
      <c r="F3" s="358" t="e">
        <f>#REF!</f>
        <v>#REF!</v>
      </c>
      <c r="G3" s="358" t="e">
        <f>#REF!</f>
        <v>#REF!</v>
      </c>
      <c r="H3" s="359">
        <v>42323</v>
      </c>
      <c r="I3" s="359" t="s">
        <v>12</v>
      </c>
      <c r="J3" s="362">
        <v>0</v>
      </c>
      <c r="K3" s="363" t="s">
        <v>13</v>
      </c>
    </row>
    <row r="4" s="356" customFormat="1" ht="36" customHeight="1" spans="1:11">
      <c r="A4" s="271" t="s">
        <v>14</v>
      </c>
      <c r="B4" s="358" t="e">
        <f>#REF!</f>
        <v>#REF!</v>
      </c>
      <c r="C4" s="358" t="e">
        <f>#REF!</f>
        <v>#REF!</v>
      </c>
      <c r="D4" s="358"/>
      <c r="E4" s="358" t="e">
        <f>#REF!</f>
        <v>#REF!</v>
      </c>
      <c r="F4" s="358" t="e">
        <f>#REF!</f>
        <v>#REF!</v>
      </c>
      <c r="G4" s="358" t="e">
        <f>#REF!</f>
        <v>#REF!</v>
      </c>
      <c r="H4" s="359" t="s">
        <v>15</v>
      </c>
      <c r="I4" s="359" t="s">
        <v>12</v>
      </c>
      <c r="J4" s="362" t="e">
        <f>#REF!</f>
        <v>#REF!</v>
      </c>
      <c r="K4" s="363" t="s">
        <v>16</v>
      </c>
    </row>
    <row r="5" s="356" customFormat="1" ht="36" customHeight="1" spans="1:11">
      <c r="A5" s="271" t="s">
        <v>17</v>
      </c>
      <c r="B5" s="358" t="e">
        <f>#REF!</f>
        <v>#REF!</v>
      </c>
      <c r="C5" s="358" t="e">
        <f>#REF!</f>
        <v>#REF!</v>
      </c>
      <c r="D5" s="358" t="e">
        <f>#REF!</f>
        <v>#REF!</v>
      </c>
      <c r="E5" s="358" t="e">
        <f>#REF!</f>
        <v>#REF!</v>
      </c>
      <c r="F5" s="358"/>
      <c r="G5" s="358" t="e">
        <f>#REF!</f>
        <v>#REF!</v>
      </c>
      <c r="H5" s="359">
        <v>42217</v>
      </c>
      <c r="I5" s="359" t="s">
        <v>18</v>
      </c>
      <c r="J5" s="364" t="e">
        <f>#REF!</f>
        <v>#REF!</v>
      </c>
      <c r="K5" s="363" t="s">
        <v>13</v>
      </c>
    </row>
    <row r="6" s="356" customFormat="1" ht="36" customHeight="1" spans="1:11">
      <c r="A6" s="271" t="s">
        <v>19</v>
      </c>
      <c r="B6" s="358" t="e">
        <f>#REF!</f>
        <v>#REF!</v>
      </c>
      <c r="C6" s="358" t="e">
        <f>#REF!</f>
        <v>#REF!</v>
      </c>
      <c r="D6" s="358"/>
      <c r="E6" s="358" t="e">
        <f>#REF!</f>
        <v>#REF!</v>
      </c>
      <c r="F6" s="358" t="e">
        <f>#REF!</f>
        <v>#REF!</v>
      </c>
      <c r="G6" s="358" t="e">
        <f>#REF!</f>
        <v>#REF!</v>
      </c>
      <c r="H6" s="359">
        <v>42248</v>
      </c>
      <c r="I6" s="359" t="s">
        <v>20</v>
      </c>
      <c r="J6" s="362">
        <v>0</v>
      </c>
      <c r="K6" s="363" t="s">
        <v>13</v>
      </c>
    </row>
    <row r="7" s="356" customFormat="1" ht="33.75" customHeight="1" spans="1:13">
      <c r="A7" s="271" t="s">
        <v>21</v>
      </c>
      <c r="B7" s="358">
        <v>11947370.39</v>
      </c>
      <c r="C7" s="358" t="e">
        <f>#REF!</f>
        <v>#REF!</v>
      </c>
      <c r="D7" s="358"/>
      <c r="E7" s="358" t="e">
        <f>SUM(#REF!,#REF!)</f>
        <v>#REF!</v>
      </c>
      <c r="F7" s="358" t="e">
        <f>SUM(#REF!)</f>
        <v>#REF!</v>
      </c>
      <c r="G7" s="358" t="e">
        <f>#REF!</f>
        <v>#REF!</v>
      </c>
      <c r="H7" s="359">
        <v>42277</v>
      </c>
      <c r="I7" s="359" t="s">
        <v>20</v>
      </c>
      <c r="J7" s="362" t="e">
        <f>#REF!</f>
        <v>#REF!</v>
      </c>
      <c r="K7" s="365" t="s">
        <v>22</v>
      </c>
      <c r="M7" s="366"/>
    </row>
    <row r="8" s="356" customFormat="1" ht="36" customHeight="1" spans="1:11">
      <c r="A8" s="271" t="s">
        <v>23</v>
      </c>
      <c r="B8" s="358" t="e">
        <f>#REF!</f>
        <v>#REF!</v>
      </c>
      <c r="C8" s="358" t="e">
        <f>#REF!</f>
        <v>#REF!</v>
      </c>
      <c r="D8" s="358"/>
      <c r="E8" s="358" t="e">
        <f>#REF!</f>
        <v>#REF!</v>
      </c>
      <c r="F8" s="358"/>
      <c r="G8" s="358" t="e">
        <f>#REF!</f>
        <v>#REF!</v>
      </c>
      <c r="H8" s="359">
        <v>42217</v>
      </c>
      <c r="I8" s="359" t="s">
        <v>18</v>
      </c>
      <c r="J8" s="362" t="e">
        <f>#REF!</f>
        <v>#REF!</v>
      </c>
      <c r="K8" s="363" t="s">
        <v>16</v>
      </c>
    </row>
    <row r="9" s="356" customFormat="1" ht="36" customHeight="1" spans="1:11">
      <c r="A9" s="271" t="s">
        <v>24</v>
      </c>
      <c r="B9" s="358" t="e">
        <f>#REF!</f>
        <v>#REF!</v>
      </c>
      <c r="C9" s="358" t="e">
        <f>#REF!</f>
        <v>#REF!</v>
      </c>
      <c r="D9" s="358"/>
      <c r="E9" s="358" t="e">
        <f>#REF!</f>
        <v>#REF!</v>
      </c>
      <c r="F9" s="358"/>
      <c r="G9" s="358" t="e">
        <f>#REF!</f>
        <v>#REF!</v>
      </c>
      <c r="H9" s="359" t="s">
        <v>25</v>
      </c>
      <c r="I9" s="359" t="s">
        <v>18</v>
      </c>
      <c r="J9" s="362" t="e">
        <f>#REF!</f>
        <v>#REF!</v>
      </c>
      <c r="K9" s="363" t="s">
        <v>16</v>
      </c>
    </row>
    <row r="10" s="356" customFormat="1" ht="36" customHeight="1" spans="1:11">
      <c r="A10" s="271" t="s">
        <v>26</v>
      </c>
      <c r="B10" s="358">
        <v>0</v>
      </c>
      <c r="C10" s="358" t="e">
        <f>#REF!</f>
        <v>#REF!</v>
      </c>
      <c r="D10" s="358"/>
      <c r="E10" s="358" t="e">
        <f>#REF!</f>
        <v>#REF!</v>
      </c>
      <c r="F10" s="358"/>
      <c r="G10" s="358" t="e">
        <f>#REF!</f>
        <v>#REF!</v>
      </c>
      <c r="H10" s="359">
        <v>42248</v>
      </c>
      <c r="I10" s="359" t="s">
        <v>20</v>
      </c>
      <c r="J10" s="362" t="e">
        <f>#REF!</f>
        <v>#REF!</v>
      </c>
      <c r="K10" s="363" t="s">
        <v>16</v>
      </c>
    </row>
    <row r="11" s="356" customFormat="1" ht="36" customHeight="1" spans="1:11">
      <c r="A11" s="271" t="s">
        <v>27</v>
      </c>
      <c r="B11" s="358">
        <v>95092.92</v>
      </c>
      <c r="C11" s="358" t="e">
        <f>#REF!</f>
        <v>#REF!</v>
      </c>
      <c r="D11" s="358"/>
      <c r="E11" s="358" t="e">
        <f>SUM(#REF!,#REF!)</f>
        <v>#REF!</v>
      </c>
      <c r="F11" s="358"/>
      <c r="G11" s="358" t="e">
        <f>#REF!</f>
        <v>#REF!</v>
      </c>
      <c r="H11" s="359">
        <v>42248</v>
      </c>
      <c r="I11" s="359" t="s">
        <v>20</v>
      </c>
      <c r="J11" s="362" t="e">
        <f>#REF!</f>
        <v>#REF!</v>
      </c>
      <c r="K11" s="363" t="s">
        <v>13</v>
      </c>
    </row>
    <row r="12" s="356" customFormat="1" ht="36" customHeight="1" spans="1:11">
      <c r="A12" s="271" t="s">
        <v>28</v>
      </c>
      <c r="B12" s="360" t="e">
        <f>SUM(B3:B11)</f>
        <v>#REF!</v>
      </c>
      <c r="C12" s="360" t="e">
        <f t="shared" ref="C12:J12" si="0">SUM(C3:C11)</f>
        <v>#REF!</v>
      </c>
      <c r="D12" s="360" t="e">
        <f t="shared" si="0"/>
        <v>#REF!</v>
      </c>
      <c r="E12" s="360" t="e">
        <f t="shared" si="0"/>
        <v>#REF!</v>
      </c>
      <c r="F12" s="360" t="e">
        <f t="shared" si="0"/>
        <v>#REF!</v>
      </c>
      <c r="G12" s="360" t="e">
        <f t="shared" si="0"/>
        <v>#REF!</v>
      </c>
      <c r="H12" s="271"/>
      <c r="I12" s="271"/>
      <c r="J12" s="360" t="e">
        <f t="shared" si="0"/>
        <v>#REF!</v>
      </c>
      <c r="K12" s="271"/>
    </row>
    <row r="13" spans="3:7">
      <c r="C13" s="361"/>
      <c r="D13" s="361"/>
      <c r="E13" s="361"/>
      <c r="F13" s="361"/>
      <c r="G13" s="361"/>
    </row>
    <row r="14" spans="3:7">
      <c r="C14" s="361"/>
      <c r="D14" s="361"/>
      <c r="E14" s="361"/>
      <c r="F14" s="361"/>
      <c r="G14" s="361"/>
    </row>
    <row r="15" spans="5:5">
      <c r="E15" s="361"/>
    </row>
  </sheetData>
  <pageMargins left="0.699305555555556" right="0.699305555555556" top="0.75" bottom="0.75" header="0.3" footer="0.3"/>
  <pageSetup paperSize="9" scale="63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1"/>
  <sheetViews>
    <sheetView workbookViewId="0">
      <pane xSplit="1" ySplit="2" topLeftCell="B12" activePane="bottomRight" state="frozen"/>
      <selection/>
      <selection pane="topRight"/>
      <selection pane="bottomLeft"/>
      <selection pane="bottomRight" activeCell="I29" sqref="I29"/>
    </sheetView>
  </sheetViews>
  <sheetFormatPr defaultColWidth="9" defaultRowHeight="14.25"/>
  <cols>
    <col min="1" max="1" width="5.375" style="144" customWidth="1"/>
    <col min="2" max="2" width="3.875" style="144" customWidth="1"/>
    <col min="3" max="4" width="11.375" style="144" customWidth="1"/>
    <col min="5" max="5" width="13.5" style="144" hidden="1" customWidth="1"/>
    <col min="6" max="6" width="14" style="144" customWidth="1"/>
    <col min="7" max="7" width="10.375" style="144" customWidth="1"/>
    <col min="8" max="8" width="14.625" style="144" customWidth="1"/>
    <col min="9" max="9" width="13.875" style="145" customWidth="1"/>
    <col min="10" max="10" width="9" style="144"/>
    <col min="11" max="11" width="15.125" style="144" customWidth="1"/>
    <col min="12" max="12" width="12.75" style="144" customWidth="1"/>
    <col min="13" max="14" width="15.125" style="144" customWidth="1"/>
    <col min="15" max="16384" width="9" style="144"/>
  </cols>
  <sheetData>
    <row r="1" ht="27.75" customHeight="1" spans="1:10">
      <c r="A1" s="146" t="s">
        <v>89</v>
      </c>
      <c r="B1" s="146"/>
      <c r="C1" s="146"/>
      <c r="D1" s="146"/>
      <c r="E1" s="146"/>
      <c r="F1" s="146"/>
      <c r="G1" s="146"/>
      <c r="H1" s="146"/>
      <c r="I1" s="146"/>
      <c r="J1" s="146"/>
    </row>
    <row r="2" s="143" customFormat="1" ht="20.25" customHeight="1" spans="1:10">
      <c r="A2" s="147" t="s">
        <v>30</v>
      </c>
      <c r="B2" s="147" t="s">
        <v>31</v>
      </c>
      <c r="C2" s="147" t="s">
        <v>32</v>
      </c>
      <c r="D2" s="147" t="s">
        <v>33</v>
      </c>
      <c r="E2" s="147"/>
      <c r="F2" s="147" t="s">
        <v>34</v>
      </c>
      <c r="G2" s="147" t="s">
        <v>35</v>
      </c>
      <c r="H2" s="147" t="s">
        <v>36</v>
      </c>
      <c r="I2" s="149" t="s">
        <v>84</v>
      </c>
      <c r="J2" s="147" t="s">
        <v>10</v>
      </c>
    </row>
    <row r="3" s="143" customFormat="1" ht="15" customHeight="1" spans="1:10">
      <c r="A3" s="147" t="s">
        <v>44</v>
      </c>
      <c r="B3" s="147">
        <v>1</v>
      </c>
      <c r="C3" s="148">
        <v>40568</v>
      </c>
      <c r="D3" s="148">
        <v>40568</v>
      </c>
      <c r="E3" s="148"/>
      <c r="F3" s="194">
        <v>119374</v>
      </c>
      <c r="G3" s="148"/>
      <c r="H3" s="149"/>
      <c r="I3" s="149">
        <f>F3-H3</f>
        <v>119374</v>
      </c>
      <c r="J3" s="147"/>
    </row>
    <row r="4" s="143" customFormat="1" ht="15" customHeight="1" spans="1:10">
      <c r="A4" s="147"/>
      <c r="B4" s="147">
        <v>2</v>
      </c>
      <c r="C4" s="148">
        <v>40599</v>
      </c>
      <c r="D4" s="148">
        <v>40599</v>
      </c>
      <c r="E4" s="148"/>
      <c r="F4" s="194">
        <v>77542.5</v>
      </c>
      <c r="G4" s="148"/>
      <c r="H4" s="149"/>
      <c r="I4" s="149">
        <f>I3+F4-H4</f>
        <v>196916.5</v>
      </c>
      <c r="J4" s="147"/>
    </row>
    <row r="5" s="143" customFormat="1" ht="15" customHeight="1" spans="1:10">
      <c r="A5" s="147"/>
      <c r="B5" s="147">
        <v>3</v>
      </c>
      <c r="C5" s="148">
        <v>40633</v>
      </c>
      <c r="D5" s="148">
        <v>40633</v>
      </c>
      <c r="E5" s="148"/>
      <c r="F5" s="194">
        <v>6646.5</v>
      </c>
      <c r="G5" s="148"/>
      <c r="H5" s="149"/>
      <c r="I5" s="149">
        <f t="shared" ref="I5:I19" si="0">I4+F5-H5</f>
        <v>203563</v>
      </c>
      <c r="J5" s="147"/>
    </row>
    <row r="6" s="143" customFormat="1" ht="15" customHeight="1" spans="1:10">
      <c r="A6" s="147"/>
      <c r="B6" s="147">
        <v>4</v>
      </c>
      <c r="C6" s="148">
        <v>40663</v>
      </c>
      <c r="D6" s="148">
        <v>40663</v>
      </c>
      <c r="E6" s="148"/>
      <c r="F6" s="194">
        <v>77500</v>
      </c>
      <c r="G6" s="148"/>
      <c r="H6" s="149"/>
      <c r="I6" s="149">
        <f t="shared" si="0"/>
        <v>281063</v>
      </c>
      <c r="J6" s="147"/>
    </row>
    <row r="7" s="143" customFormat="1" ht="15" customHeight="1" spans="1:10">
      <c r="A7" s="147"/>
      <c r="B7" s="147">
        <v>5</v>
      </c>
      <c r="C7" s="148">
        <v>40663</v>
      </c>
      <c r="D7" s="148">
        <v>40663</v>
      </c>
      <c r="E7" s="148"/>
      <c r="F7" s="194">
        <v>115189</v>
      </c>
      <c r="G7" s="148"/>
      <c r="H7" s="149"/>
      <c r="I7" s="149">
        <f t="shared" si="0"/>
        <v>396252</v>
      </c>
      <c r="J7" s="147"/>
    </row>
    <row r="8" s="143" customFormat="1" ht="15" customHeight="1" spans="1:10">
      <c r="A8" s="147"/>
      <c r="B8" s="147">
        <v>6</v>
      </c>
      <c r="C8" s="148">
        <v>40693</v>
      </c>
      <c r="D8" s="148">
        <v>40693</v>
      </c>
      <c r="E8" s="148"/>
      <c r="F8" s="194">
        <v>67039.9</v>
      </c>
      <c r="G8" s="148"/>
      <c r="H8" s="149"/>
      <c r="I8" s="149">
        <f t="shared" si="0"/>
        <v>463291.9</v>
      </c>
      <c r="J8" s="147"/>
    </row>
    <row r="9" s="143" customFormat="1" ht="15" customHeight="1" spans="1:10">
      <c r="A9" s="147"/>
      <c r="B9" s="147">
        <v>7</v>
      </c>
      <c r="C9" s="148">
        <v>40724</v>
      </c>
      <c r="D9" s="148">
        <v>40724</v>
      </c>
      <c r="E9" s="148"/>
      <c r="F9" s="194">
        <v>203190.9</v>
      </c>
      <c r="G9" s="148"/>
      <c r="H9" s="189">
        <v>126916.5</v>
      </c>
      <c r="I9" s="149">
        <f t="shared" si="0"/>
        <v>539566.3</v>
      </c>
      <c r="J9" s="147"/>
    </row>
    <row r="10" s="143" customFormat="1" ht="15" customHeight="1" spans="1:10">
      <c r="A10" s="147"/>
      <c r="B10" s="147">
        <v>8</v>
      </c>
      <c r="C10" s="148">
        <v>40749</v>
      </c>
      <c r="D10" s="148">
        <v>40749</v>
      </c>
      <c r="E10" s="148"/>
      <c r="F10" s="194">
        <v>187714.95</v>
      </c>
      <c r="G10" s="148"/>
      <c r="H10" s="149"/>
      <c r="I10" s="149">
        <f t="shared" si="0"/>
        <v>727281.25</v>
      </c>
      <c r="J10" s="147"/>
    </row>
    <row r="11" s="143" customFormat="1" ht="15" customHeight="1" spans="1:10">
      <c r="A11" s="147"/>
      <c r="B11" s="147">
        <v>9</v>
      </c>
      <c r="C11" s="148">
        <v>40780</v>
      </c>
      <c r="D11" s="148">
        <v>40780</v>
      </c>
      <c r="E11" s="148"/>
      <c r="F11" s="149">
        <v>240409.4</v>
      </c>
      <c r="G11" s="148"/>
      <c r="H11" s="149"/>
      <c r="I11" s="149">
        <f t="shared" si="0"/>
        <v>967690.65</v>
      </c>
      <c r="J11" s="147"/>
    </row>
    <row r="12" s="143" customFormat="1" ht="15" customHeight="1" spans="1:10">
      <c r="A12" s="147"/>
      <c r="B12" s="147">
        <v>10</v>
      </c>
      <c r="C12" s="148">
        <v>40780</v>
      </c>
      <c r="D12" s="148">
        <v>40780</v>
      </c>
      <c r="E12" s="148"/>
      <c r="F12" s="149">
        <v>18300</v>
      </c>
      <c r="G12" s="148"/>
      <c r="H12" s="149"/>
      <c r="I12" s="149">
        <f t="shared" si="0"/>
        <v>985990.65</v>
      </c>
      <c r="J12" s="147" t="s">
        <v>90</v>
      </c>
    </row>
    <row r="13" s="143" customFormat="1" ht="15" customHeight="1" spans="1:10">
      <c r="A13" s="147"/>
      <c r="B13" s="147">
        <v>11</v>
      </c>
      <c r="C13" s="148"/>
      <c r="D13" s="148"/>
      <c r="E13" s="148"/>
      <c r="F13" s="149"/>
      <c r="G13" s="148">
        <v>40795</v>
      </c>
      <c r="H13" s="149">
        <v>200000</v>
      </c>
      <c r="I13" s="149">
        <f t="shared" si="0"/>
        <v>785990.65</v>
      </c>
      <c r="J13" s="147"/>
    </row>
    <row r="14" s="143" customFormat="1" ht="15" customHeight="1" spans="1:10">
      <c r="A14" s="147"/>
      <c r="B14" s="147">
        <v>12</v>
      </c>
      <c r="C14" s="148">
        <v>40812</v>
      </c>
      <c r="D14" s="148">
        <v>40812</v>
      </c>
      <c r="E14" s="148"/>
      <c r="F14" s="149">
        <v>125879.6</v>
      </c>
      <c r="G14" s="148">
        <v>40905</v>
      </c>
      <c r="H14" s="149">
        <v>140000</v>
      </c>
      <c r="I14" s="149">
        <f t="shared" si="0"/>
        <v>771870.25</v>
      </c>
      <c r="J14" s="147"/>
    </row>
    <row r="15" s="143" customFormat="1" ht="15" customHeight="1" spans="1:10">
      <c r="A15" s="147"/>
      <c r="B15" s="147">
        <v>13</v>
      </c>
      <c r="C15" s="148">
        <v>40841</v>
      </c>
      <c r="D15" s="148">
        <v>40841</v>
      </c>
      <c r="E15" s="148"/>
      <c r="F15" s="149">
        <v>5711.75</v>
      </c>
      <c r="G15" s="148"/>
      <c r="H15" s="149"/>
      <c r="I15" s="149">
        <f t="shared" si="0"/>
        <v>777582</v>
      </c>
      <c r="J15" s="147"/>
    </row>
    <row r="16" s="143" customFormat="1" ht="15" customHeight="1" spans="1:10">
      <c r="A16" s="147"/>
      <c r="B16" s="147">
        <v>14</v>
      </c>
      <c r="C16" s="148">
        <v>40870</v>
      </c>
      <c r="D16" s="148">
        <v>40870</v>
      </c>
      <c r="E16" s="148"/>
      <c r="F16" s="149">
        <v>63566.25</v>
      </c>
      <c r="G16" s="148"/>
      <c r="H16" s="149"/>
      <c r="I16" s="149">
        <f t="shared" si="0"/>
        <v>841148.25</v>
      </c>
      <c r="J16" s="147"/>
    </row>
    <row r="17" s="143" customFormat="1" ht="15" customHeight="1" spans="1:10">
      <c r="A17" s="147"/>
      <c r="B17" s="147">
        <v>15</v>
      </c>
      <c r="C17" s="148">
        <v>40898</v>
      </c>
      <c r="D17" s="148">
        <v>40903</v>
      </c>
      <c r="E17" s="148"/>
      <c r="F17" s="149">
        <v>68331.45</v>
      </c>
      <c r="G17" s="148"/>
      <c r="H17" s="149"/>
      <c r="I17" s="149">
        <f t="shared" si="0"/>
        <v>909479.7</v>
      </c>
      <c r="J17" s="147"/>
    </row>
    <row r="18" s="143" customFormat="1" ht="15" customHeight="1" spans="1:10">
      <c r="A18" s="147"/>
      <c r="B18" s="147">
        <v>16</v>
      </c>
      <c r="C18" s="148"/>
      <c r="D18" s="148"/>
      <c r="E18" s="148"/>
      <c r="F18" s="149"/>
      <c r="G18" s="148"/>
      <c r="H18" s="149"/>
      <c r="I18" s="149">
        <f t="shared" si="0"/>
        <v>909479.7</v>
      </c>
      <c r="J18" s="147"/>
    </row>
    <row r="19" s="143" customFormat="1" ht="15" customHeight="1" spans="1:10">
      <c r="A19" s="147"/>
      <c r="B19" s="147">
        <v>17</v>
      </c>
      <c r="C19" s="148"/>
      <c r="D19" s="148"/>
      <c r="E19" s="148"/>
      <c r="F19" s="149"/>
      <c r="G19" s="148"/>
      <c r="H19" s="149"/>
      <c r="I19" s="149">
        <f t="shared" si="0"/>
        <v>909479.7</v>
      </c>
      <c r="J19" s="147"/>
    </row>
    <row r="20" s="143" customFormat="1" ht="25.5" customHeight="1" spans="1:10">
      <c r="A20" s="147" t="s">
        <v>85</v>
      </c>
      <c r="B20" s="147"/>
      <c r="C20" s="147"/>
      <c r="D20" s="147"/>
      <c r="E20" s="147"/>
      <c r="F20" s="149">
        <f>SUM(F3:F19)</f>
        <v>1376396.2</v>
      </c>
      <c r="G20" s="147"/>
      <c r="H20" s="149">
        <f>SUM(H3:H19)</f>
        <v>466916.5</v>
      </c>
      <c r="I20" s="149">
        <f>F20-H20</f>
        <v>909479.7</v>
      </c>
      <c r="J20" s="147"/>
    </row>
    <row r="21" spans="1:12">
      <c r="A21" s="147" t="s">
        <v>46</v>
      </c>
      <c r="B21" s="147">
        <v>1</v>
      </c>
      <c r="C21" s="148">
        <v>40961</v>
      </c>
      <c r="D21" s="148">
        <v>40963</v>
      </c>
      <c r="E21" s="148"/>
      <c r="F21" s="149">
        <v>5400</v>
      </c>
      <c r="G21" s="148">
        <v>40940</v>
      </c>
      <c r="H21" s="149">
        <v>200000</v>
      </c>
      <c r="I21" s="149">
        <f>I20+F21-H21</f>
        <v>714879.7</v>
      </c>
      <c r="J21" s="147" t="s">
        <v>90</v>
      </c>
      <c r="L21" s="218">
        <f>F21/1.17</f>
        <v>4615.38461538462</v>
      </c>
    </row>
    <row r="22" spans="1:12">
      <c r="A22" s="147"/>
      <c r="B22" s="147">
        <v>2</v>
      </c>
      <c r="C22" s="148">
        <v>40961</v>
      </c>
      <c r="D22" s="148">
        <v>40963</v>
      </c>
      <c r="E22" s="148"/>
      <c r="F22" s="149">
        <v>13939.35</v>
      </c>
      <c r="G22" s="148"/>
      <c r="H22" s="149"/>
      <c r="I22" s="149">
        <f t="shared" ref="I22:I33" si="1">I21+F22-H22</f>
        <v>728819.05</v>
      </c>
      <c r="J22" s="147"/>
      <c r="L22" s="218">
        <f t="shared" ref="L22:L30" si="2">F22/1.17</f>
        <v>11913.9743589744</v>
      </c>
    </row>
    <row r="23" spans="1:12">
      <c r="A23" s="147"/>
      <c r="B23" s="147">
        <v>3</v>
      </c>
      <c r="C23" s="148">
        <v>41026</v>
      </c>
      <c r="D23" s="148">
        <v>41026</v>
      </c>
      <c r="E23" s="148"/>
      <c r="F23" s="149">
        <v>33288</v>
      </c>
      <c r="G23" s="148"/>
      <c r="H23" s="149"/>
      <c r="I23" s="149">
        <f t="shared" si="1"/>
        <v>762107.05</v>
      </c>
      <c r="J23" s="147"/>
      <c r="L23" s="218">
        <f t="shared" si="2"/>
        <v>28451.2820512821</v>
      </c>
    </row>
    <row r="24" spans="1:12">
      <c r="A24" s="147"/>
      <c r="B24" s="147">
        <v>4</v>
      </c>
      <c r="C24" s="148">
        <v>41059</v>
      </c>
      <c r="D24" s="148">
        <v>41059</v>
      </c>
      <c r="E24" s="148"/>
      <c r="F24" s="149">
        <v>52012.5</v>
      </c>
      <c r="G24" s="148"/>
      <c r="H24" s="149"/>
      <c r="I24" s="149">
        <f t="shared" si="1"/>
        <v>814119.55</v>
      </c>
      <c r="J24" s="147"/>
      <c r="L24" s="218">
        <f t="shared" si="2"/>
        <v>44455.1282051282</v>
      </c>
    </row>
    <row r="25" spans="1:12">
      <c r="A25" s="147"/>
      <c r="B25" s="147">
        <v>5</v>
      </c>
      <c r="C25" s="148"/>
      <c r="D25" s="148"/>
      <c r="E25" s="148"/>
      <c r="F25" s="149"/>
      <c r="G25" s="148">
        <v>41222</v>
      </c>
      <c r="H25" s="149">
        <v>50000</v>
      </c>
      <c r="I25" s="149">
        <f t="shared" si="1"/>
        <v>764119.55</v>
      </c>
      <c r="J25" s="147"/>
      <c r="L25" s="218">
        <f t="shared" si="2"/>
        <v>0</v>
      </c>
    </row>
    <row r="26" spans="1:12">
      <c r="A26" s="147"/>
      <c r="B26" s="147">
        <v>6</v>
      </c>
      <c r="C26" s="148"/>
      <c r="D26" s="148"/>
      <c r="E26" s="148"/>
      <c r="F26" s="149"/>
      <c r="G26" s="148"/>
      <c r="H26" s="149"/>
      <c r="I26" s="149">
        <f t="shared" si="1"/>
        <v>764119.55</v>
      </c>
      <c r="J26" s="147"/>
      <c r="L26" s="218">
        <f t="shared" si="2"/>
        <v>0</v>
      </c>
    </row>
    <row r="27" spans="1:12">
      <c r="A27" s="147"/>
      <c r="B27" s="147">
        <v>7</v>
      </c>
      <c r="C27" s="148"/>
      <c r="D27" s="148"/>
      <c r="E27" s="148"/>
      <c r="F27" s="149"/>
      <c r="G27" s="148"/>
      <c r="H27" s="149"/>
      <c r="I27" s="149">
        <f t="shared" si="1"/>
        <v>764119.55</v>
      </c>
      <c r="J27" s="147"/>
      <c r="L27" s="218">
        <f t="shared" si="2"/>
        <v>0</v>
      </c>
    </row>
    <row r="28" spans="1:12">
      <c r="A28" s="147"/>
      <c r="B28" s="147">
        <v>8</v>
      </c>
      <c r="C28" s="148"/>
      <c r="D28" s="148"/>
      <c r="E28" s="148"/>
      <c r="F28" s="149"/>
      <c r="G28" s="148"/>
      <c r="H28" s="149"/>
      <c r="I28" s="149">
        <f t="shared" si="1"/>
        <v>764119.55</v>
      </c>
      <c r="J28" s="147"/>
      <c r="L28" s="218">
        <f t="shared" si="2"/>
        <v>0</v>
      </c>
    </row>
    <row r="29" spans="1:12">
      <c r="A29" s="147"/>
      <c r="B29" s="147">
        <v>9</v>
      </c>
      <c r="C29" s="148"/>
      <c r="D29" s="148"/>
      <c r="E29" s="148"/>
      <c r="F29" s="149"/>
      <c r="G29" s="148"/>
      <c r="H29" s="149"/>
      <c r="I29" s="149">
        <f t="shared" si="1"/>
        <v>764119.55</v>
      </c>
      <c r="J29" s="147"/>
      <c r="L29" s="218">
        <f t="shared" si="2"/>
        <v>0</v>
      </c>
    </row>
    <row r="30" spans="1:12">
      <c r="A30" s="147"/>
      <c r="B30" s="147">
        <v>10</v>
      </c>
      <c r="C30" s="148"/>
      <c r="D30" s="148"/>
      <c r="E30" s="148"/>
      <c r="F30" s="149"/>
      <c r="G30" s="148"/>
      <c r="H30" s="149"/>
      <c r="I30" s="149">
        <f t="shared" si="1"/>
        <v>764119.55</v>
      </c>
      <c r="J30" s="147"/>
      <c r="L30" s="218">
        <f t="shared" si="2"/>
        <v>0</v>
      </c>
    </row>
    <row r="31" spans="1:10">
      <c r="A31" s="147"/>
      <c r="B31" s="147">
        <v>11</v>
      </c>
      <c r="C31" s="148"/>
      <c r="D31" s="148"/>
      <c r="E31" s="148"/>
      <c r="F31" s="149"/>
      <c r="G31" s="148"/>
      <c r="H31" s="149"/>
      <c r="I31" s="149">
        <f t="shared" si="1"/>
        <v>764119.55</v>
      </c>
      <c r="J31" s="147"/>
    </row>
    <row r="32" spans="1:10">
      <c r="A32" s="147"/>
      <c r="B32" s="147">
        <v>12</v>
      </c>
      <c r="C32" s="148"/>
      <c r="D32" s="148"/>
      <c r="E32" s="148"/>
      <c r="F32" s="149"/>
      <c r="G32" s="148"/>
      <c r="H32" s="149"/>
      <c r="I32" s="149">
        <f t="shared" si="1"/>
        <v>764119.55</v>
      </c>
      <c r="J32" s="147"/>
    </row>
    <row r="33" spans="1:10">
      <c r="A33" s="147"/>
      <c r="B33" s="147">
        <v>13</v>
      </c>
      <c r="C33" s="148"/>
      <c r="D33" s="148"/>
      <c r="E33" s="148"/>
      <c r="F33" s="149"/>
      <c r="G33" s="148"/>
      <c r="H33" s="149"/>
      <c r="I33" s="149">
        <f t="shared" si="1"/>
        <v>764119.55</v>
      </c>
      <c r="J33" s="147"/>
    </row>
    <row r="34" spans="1:10">
      <c r="A34" s="147" t="s">
        <v>85</v>
      </c>
      <c r="B34" s="147"/>
      <c r="C34" s="147"/>
      <c r="D34" s="147"/>
      <c r="E34" s="147"/>
      <c r="F34" s="149">
        <f>SUM(F21:F33)</f>
        <v>104639.85</v>
      </c>
      <c r="G34" s="147"/>
      <c r="H34" s="149">
        <f>SUM(H21:H33)</f>
        <v>250000</v>
      </c>
      <c r="I34" s="149">
        <f>I20+F34-H34</f>
        <v>764119.55</v>
      </c>
      <c r="J34" s="147"/>
    </row>
    <row r="35" spans="1:10">
      <c r="A35" s="147" t="s">
        <v>91</v>
      </c>
      <c r="B35" s="147"/>
      <c r="C35" s="147"/>
      <c r="D35" s="147"/>
      <c r="E35" s="147"/>
      <c r="F35" s="149">
        <f>SUM(F20,F34)</f>
        <v>1481036.05</v>
      </c>
      <c r="G35" s="147"/>
      <c r="H35" s="149">
        <f>SUM(H20,H34)</f>
        <v>716916.5</v>
      </c>
      <c r="I35" s="149">
        <f>F35-H35</f>
        <v>764119.55</v>
      </c>
      <c r="J35" s="147"/>
    </row>
    <row r="38" spans="1:1">
      <c r="A38" s="144" t="s">
        <v>92</v>
      </c>
    </row>
    <row r="40" spans="8:8">
      <c r="H40" s="144" t="s">
        <v>86</v>
      </c>
    </row>
    <row r="41" spans="8:9">
      <c r="H41" s="167">
        <v>40936</v>
      </c>
      <c r="I41" s="168"/>
    </row>
  </sheetData>
  <mergeCells count="7">
    <mergeCell ref="A1:J1"/>
    <mergeCell ref="A20:C20"/>
    <mergeCell ref="A34:C34"/>
    <mergeCell ref="A35:C35"/>
    <mergeCell ref="H41:I41"/>
    <mergeCell ref="A3:A19"/>
    <mergeCell ref="A21:A33"/>
  </mergeCells>
  <pageMargins left="0.269444444444444" right="0.259722222222222" top="0.259722222222222" bottom="0.189583333333333" header="0.169444444444444" footer="0.169444444444444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J26" sqref="J26"/>
    </sheetView>
  </sheetViews>
  <sheetFormatPr defaultColWidth="9" defaultRowHeight="14.25"/>
  <cols>
    <col min="1" max="1" width="5.375" style="144" customWidth="1"/>
    <col min="2" max="2" width="3.875" style="144" customWidth="1"/>
    <col min="3" max="4" width="11.375" style="144" customWidth="1"/>
    <col min="5" max="5" width="13.5" style="202" customWidth="1"/>
    <col min="6" max="6" width="14" style="144" customWidth="1"/>
    <col min="7" max="7" width="10.375" style="144" customWidth="1"/>
    <col min="8" max="8" width="14.625" style="144" customWidth="1"/>
    <col min="9" max="9" width="13.875" style="145" customWidth="1"/>
    <col min="10" max="10" width="14.125" style="144" customWidth="1"/>
    <col min="11" max="11" width="15.125" style="144" customWidth="1"/>
    <col min="12" max="12" width="11.25" style="144" customWidth="1"/>
    <col min="13" max="14" width="15.125" style="144" customWidth="1"/>
    <col min="15" max="16384" width="9" style="144"/>
  </cols>
  <sheetData>
    <row r="1" ht="27.75" customHeight="1" spans="1:10">
      <c r="A1" s="146" t="s">
        <v>93</v>
      </c>
      <c r="B1" s="146"/>
      <c r="C1" s="146"/>
      <c r="D1" s="146"/>
      <c r="E1" s="146"/>
      <c r="F1" s="146"/>
      <c r="G1" s="146"/>
      <c r="H1" s="146"/>
      <c r="I1" s="146"/>
      <c r="J1" s="146"/>
    </row>
    <row r="2" s="143" customFormat="1" ht="20.25" customHeight="1" spans="1:10">
      <c r="A2" s="147" t="s">
        <v>30</v>
      </c>
      <c r="B2" s="147" t="s">
        <v>31</v>
      </c>
      <c r="C2" s="147" t="s">
        <v>32</v>
      </c>
      <c r="D2" s="147" t="s">
        <v>33</v>
      </c>
      <c r="E2" s="151" t="s">
        <v>94</v>
      </c>
      <c r="F2" s="147" t="s">
        <v>34</v>
      </c>
      <c r="G2" s="147" t="s">
        <v>35</v>
      </c>
      <c r="H2" s="147" t="s">
        <v>36</v>
      </c>
      <c r="I2" s="149" t="s">
        <v>84</v>
      </c>
      <c r="J2" s="147" t="s">
        <v>10</v>
      </c>
    </row>
    <row r="3" s="143" customFormat="1" ht="15" customHeight="1" spans="1:12">
      <c r="A3" s="175" t="s">
        <v>44</v>
      </c>
      <c r="B3" s="171">
        <v>1</v>
      </c>
      <c r="C3" s="180">
        <v>40785</v>
      </c>
      <c r="D3" s="180">
        <v>40785</v>
      </c>
      <c r="E3" s="203">
        <v>87</v>
      </c>
      <c r="F3" s="204">
        <v>1097355</v>
      </c>
      <c r="G3" s="148">
        <v>40907</v>
      </c>
      <c r="H3" s="149">
        <v>1097355</v>
      </c>
      <c r="I3" s="149">
        <f>F3-H3</f>
        <v>0</v>
      </c>
      <c r="J3" s="147" t="s">
        <v>95</v>
      </c>
      <c r="L3" s="166">
        <f t="shared" ref="L3:L7" si="0">F3/E3</f>
        <v>12613.275862069</v>
      </c>
    </row>
    <row r="4" s="143" customFormat="1" ht="15" customHeight="1" spans="1:12">
      <c r="A4" s="205"/>
      <c r="B4" s="171">
        <v>2</v>
      </c>
      <c r="C4" s="180">
        <v>40907</v>
      </c>
      <c r="D4" s="180">
        <v>40907</v>
      </c>
      <c r="E4" s="203">
        <v>240</v>
      </c>
      <c r="F4" s="204">
        <v>1154640</v>
      </c>
      <c r="G4" s="148"/>
      <c r="H4" s="149"/>
      <c r="I4" s="149">
        <f>I3+F4-H4</f>
        <v>1154640</v>
      </c>
      <c r="J4" s="147" t="s">
        <v>96</v>
      </c>
      <c r="L4" s="166">
        <f t="shared" si="0"/>
        <v>4811</v>
      </c>
    </row>
    <row r="5" customFormat="1" ht="21" customHeight="1" spans="1:10">
      <c r="A5" s="206" t="s">
        <v>85</v>
      </c>
      <c r="B5" s="206"/>
      <c r="C5" s="206"/>
      <c r="D5" s="206"/>
      <c r="E5" s="206"/>
      <c r="F5" s="207">
        <f>SUM(F3:F4)</f>
        <v>2251995</v>
      </c>
      <c r="G5" s="208"/>
      <c r="H5" s="209">
        <f>SUM(H3:H4)</f>
        <v>1097355</v>
      </c>
      <c r="I5" s="209">
        <f>F5-H5</f>
        <v>1154640</v>
      </c>
      <c r="J5" s="208"/>
    </row>
    <row r="6" s="143" customFormat="1" ht="15" customHeight="1" spans="1:13">
      <c r="A6" s="210" t="s">
        <v>46</v>
      </c>
      <c r="B6" s="205">
        <v>1</v>
      </c>
      <c r="C6" s="211">
        <v>40913</v>
      </c>
      <c r="D6" s="211">
        <v>40913</v>
      </c>
      <c r="E6" s="212">
        <v>96</v>
      </c>
      <c r="F6" s="213">
        <v>461856</v>
      </c>
      <c r="G6" s="214"/>
      <c r="H6" s="215"/>
      <c r="I6" s="215">
        <f>I5+F6-H6</f>
        <v>1616496</v>
      </c>
      <c r="J6" s="163" t="s">
        <v>97</v>
      </c>
      <c r="L6" s="166">
        <f t="shared" si="0"/>
        <v>4811</v>
      </c>
      <c r="M6" s="166">
        <f>F6/1.17</f>
        <v>394748.717948718</v>
      </c>
    </row>
    <row r="7" s="143" customFormat="1" ht="15" customHeight="1" spans="1:13">
      <c r="A7" s="210"/>
      <c r="B7" s="171">
        <v>2</v>
      </c>
      <c r="C7" s="180">
        <v>40926</v>
      </c>
      <c r="D7" s="180">
        <v>40926</v>
      </c>
      <c r="E7" s="203">
        <v>192</v>
      </c>
      <c r="F7" s="204">
        <v>923712</v>
      </c>
      <c r="G7" s="148"/>
      <c r="H7" s="189"/>
      <c r="I7" s="215">
        <f t="shared" ref="I7:I18" si="1">I6+F7-H7</f>
        <v>2540208</v>
      </c>
      <c r="J7" s="147" t="s">
        <v>98</v>
      </c>
      <c r="L7" s="166">
        <f t="shared" si="0"/>
        <v>4811</v>
      </c>
      <c r="M7" s="166">
        <f t="shared" ref="M7:M13" si="2">F7/1.17</f>
        <v>789497.435897436</v>
      </c>
    </row>
    <row r="8" s="143" customFormat="1" ht="15" customHeight="1" spans="1:13">
      <c r="A8" s="210"/>
      <c r="B8" s="205">
        <v>3</v>
      </c>
      <c r="C8" s="180">
        <v>40939</v>
      </c>
      <c r="D8" s="180">
        <v>40939</v>
      </c>
      <c r="E8" s="203">
        <v>192</v>
      </c>
      <c r="F8" s="204">
        <v>923712</v>
      </c>
      <c r="G8" s="148">
        <v>40997</v>
      </c>
      <c r="H8" s="149">
        <v>3463920</v>
      </c>
      <c r="I8" s="215">
        <f t="shared" si="1"/>
        <v>0</v>
      </c>
      <c r="J8" s="147" t="s">
        <v>99</v>
      </c>
      <c r="L8" s="166">
        <f t="shared" ref="L8:L13" si="3">F8/E8</f>
        <v>4811</v>
      </c>
      <c r="M8" s="166">
        <f t="shared" si="2"/>
        <v>789497.435897436</v>
      </c>
    </row>
    <row r="9" s="143" customFormat="1" ht="15" customHeight="1" spans="1:13">
      <c r="A9" s="210"/>
      <c r="B9" s="171">
        <v>4</v>
      </c>
      <c r="C9" s="180">
        <v>40988</v>
      </c>
      <c r="D9" s="180">
        <v>40988</v>
      </c>
      <c r="E9" s="203">
        <v>432</v>
      </c>
      <c r="F9" s="165">
        <v>2078352</v>
      </c>
      <c r="G9" s="148">
        <v>41095</v>
      </c>
      <c r="H9" s="149">
        <v>2078352</v>
      </c>
      <c r="I9" s="215">
        <f t="shared" si="1"/>
        <v>0</v>
      </c>
      <c r="J9" s="147" t="s">
        <v>100</v>
      </c>
      <c r="L9" s="166">
        <f t="shared" si="3"/>
        <v>4811</v>
      </c>
      <c r="M9" s="166">
        <f t="shared" si="2"/>
        <v>1776369.23076923</v>
      </c>
    </row>
    <row r="10" s="143" customFormat="1" ht="15" customHeight="1" spans="1:13">
      <c r="A10" s="210"/>
      <c r="B10" s="205">
        <v>5</v>
      </c>
      <c r="C10" s="180">
        <v>41008</v>
      </c>
      <c r="D10" s="180">
        <v>41008</v>
      </c>
      <c r="E10" s="203">
        <v>384</v>
      </c>
      <c r="F10" s="204">
        <v>1847424</v>
      </c>
      <c r="G10" s="148"/>
      <c r="H10" s="189"/>
      <c r="I10" s="215">
        <f t="shared" si="1"/>
        <v>1847424</v>
      </c>
      <c r="J10" s="147" t="s">
        <v>101</v>
      </c>
      <c r="L10" s="166">
        <f t="shared" si="3"/>
        <v>4811</v>
      </c>
      <c r="M10" s="166">
        <f t="shared" si="2"/>
        <v>1578994.87179487</v>
      </c>
    </row>
    <row r="11" s="143" customFormat="1" ht="15" customHeight="1" spans="1:13">
      <c r="A11" s="210"/>
      <c r="B11" s="171">
        <v>6</v>
      </c>
      <c r="C11" s="180">
        <v>41051</v>
      </c>
      <c r="D11" s="180">
        <v>41051</v>
      </c>
      <c r="E11" s="203">
        <v>432</v>
      </c>
      <c r="F11" s="165">
        <v>2078352</v>
      </c>
      <c r="G11" s="148"/>
      <c r="H11" s="149"/>
      <c r="I11" s="215">
        <f t="shared" si="1"/>
        <v>3925776</v>
      </c>
      <c r="J11" s="147" t="s">
        <v>102</v>
      </c>
      <c r="L11" s="166">
        <f t="shared" si="3"/>
        <v>4811</v>
      </c>
      <c r="M11" s="166">
        <f t="shared" si="2"/>
        <v>1776369.23076923</v>
      </c>
    </row>
    <row r="12" s="143" customFormat="1" ht="15" customHeight="1" spans="1:13">
      <c r="A12" s="210"/>
      <c r="B12" s="205">
        <v>7</v>
      </c>
      <c r="C12" s="180">
        <v>41058</v>
      </c>
      <c r="D12" s="180">
        <v>41058</v>
      </c>
      <c r="E12" s="203">
        <v>432</v>
      </c>
      <c r="F12" s="165">
        <v>2078352</v>
      </c>
      <c r="G12" s="148"/>
      <c r="H12" s="149"/>
      <c r="I12" s="215">
        <f t="shared" si="1"/>
        <v>6004128</v>
      </c>
      <c r="J12" s="147" t="s">
        <v>103</v>
      </c>
      <c r="L12" s="166">
        <f t="shared" si="3"/>
        <v>4811</v>
      </c>
      <c r="M12" s="166">
        <f t="shared" si="2"/>
        <v>1776369.23076923</v>
      </c>
    </row>
    <row r="13" s="143" customFormat="1" ht="15" customHeight="1" spans="1:13">
      <c r="A13" s="210"/>
      <c r="B13" s="171">
        <v>8</v>
      </c>
      <c r="C13" s="180">
        <v>41088</v>
      </c>
      <c r="D13" s="180">
        <v>41088</v>
      </c>
      <c r="E13" s="203">
        <v>384</v>
      </c>
      <c r="F13" s="204">
        <v>1847424</v>
      </c>
      <c r="G13" s="148"/>
      <c r="H13" s="149"/>
      <c r="I13" s="215">
        <f t="shared" si="1"/>
        <v>7851552</v>
      </c>
      <c r="J13" s="147" t="s">
        <v>104</v>
      </c>
      <c r="L13" s="166">
        <f t="shared" si="3"/>
        <v>4811</v>
      </c>
      <c r="M13" s="166">
        <f t="shared" si="2"/>
        <v>1578994.87179487</v>
      </c>
    </row>
    <row r="14" s="143" customFormat="1" ht="15" customHeight="1" spans="1:13">
      <c r="A14" s="210"/>
      <c r="B14" s="205">
        <v>9</v>
      </c>
      <c r="C14" s="180"/>
      <c r="D14" s="180"/>
      <c r="E14" s="203"/>
      <c r="F14" s="165"/>
      <c r="G14" s="148"/>
      <c r="H14" s="149"/>
      <c r="I14" s="215">
        <f t="shared" si="1"/>
        <v>7851552</v>
      </c>
      <c r="J14" s="147"/>
      <c r="M14" s="166">
        <f t="shared" ref="M14:M20" si="4">F14/1.17/12.5</f>
        <v>0</v>
      </c>
    </row>
    <row r="15" s="143" customFormat="1" ht="15" customHeight="1" spans="1:13">
      <c r="A15" s="210"/>
      <c r="B15" s="171">
        <v>10</v>
      </c>
      <c r="C15" s="180"/>
      <c r="D15" s="180"/>
      <c r="E15" s="203"/>
      <c r="F15" s="165"/>
      <c r="G15" s="148"/>
      <c r="H15" s="149"/>
      <c r="I15" s="215">
        <f t="shared" si="1"/>
        <v>7851552</v>
      </c>
      <c r="J15" s="147"/>
      <c r="M15" s="166">
        <f t="shared" si="4"/>
        <v>0</v>
      </c>
    </row>
    <row r="16" s="143" customFormat="1" ht="15" customHeight="1" spans="1:13">
      <c r="A16" s="210"/>
      <c r="B16" s="205">
        <v>11</v>
      </c>
      <c r="C16" s="180"/>
      <c r="D16" s="180"/>
      <c r="E16" s="203"/>
      <c r="F16" s="165"/>
      <c r="G16" s="148"/>
      <c r="H16" s="149"/>
      <c r="I16" s="215">
        <f t="shared" si="1"/>
        <v>7851552</v>
      </c>
      <c r="J16" s="147"/>
      <c r="M16" s="166">
        <f t="shared" si="4"/>
        <v>0</v>
      </c>
    </row>
    <row r="17" s="143" customFormat="1" ht="15" customHeight="1" spans="1:13">
      <c r="A17" s="210"/>
      <c r="B17" s="171">
        <v>12</v>
      </c>
      <c r="C17" s="180"/>
      <c r="D17" s="180"/>
      <c r="E17" s="203"/>
      <c r="F17" s="165"/>
      <c r="G17" s="148"/>
      <c r="H17" s="149"/>
      <c r="I17" s="215">
        <f t="shared" si="1"/>
        <v>7851552</v>
      </c>
      <c r="J17" s="147"/>
      <c r="M17" s="166">
        <f t="shared" si="4"/>
        <v>0</v>
      </c>
    </row>
    <row r="18" s="143" customFormat="1" ht="15" customHeight="1" spans="1:13">
      <c r="A18" s="210"/>
      <c r="B18" s="205">
        <v>13</v>
      </c>
      <c r="C18" s="180"/>
      <c r="D18" s="180"/>
      <c r="E18" s="203"/>
      <c r="F18" s="165"/>
      <c r="G18" s="148"/>
      <c r="H18" s="149"/>
      <c r="I18" s="215">
        <f t="shared" si="1"/>
        <v>7851552</v>
      </c>
      <c r="J18" s="147"/>
      <c r="M18" s="166">
        <f t="shared" si="4"/>
        <v>0</v>
      </c>
    </row>
    <row r="19" s="143" customFormat="1" ht="25.5" customHeight="1" spans="1:13">
      <c r="A19" s="208" t="s">
        <v>85</v>
      </c>
      <c r="B19" s="208"/>
      <c r="C19" s="208"/>
      <c r="D19" s="208"/>
      <c r="E19" s="216"/>
      <c r="F19" s="209">
        <f>SUM(F6:F18)</f>
        <v>12239184</v>
      </c>
      <c r="G19" s="208"/>
      <c r="H19" s="209">
        <f>SUM(H6:H18)</f>
        <v>5542272</v>
      </c>
      <c r="I19" s="209">
        <f>I5+F19-H19</f>
        <v>7851552</v>
      </c>
      <c r="J19" s="208"/>
      <c r="M19" s="166">
        <f t="shared" si="4"/>
        <v>836867.282051282</v>
      </c>
    </row>
    <row r="20" ht="30" customHeight="1" spans="1:13">
      <c r="A20" s="208" t="s">
        <v>88</v>
      </c>
      <c r="B20" s="208"/>
      <c r="C20" s="208"/>
      <c r="D20" s="208"/>
      <c r="E20" s="216"/>
      <c r="F20" s="209">
        <f>SUM(F5,F19)</f>
        <v>14491179</v>
      </c>
      <c r="G20" s="208"/>
      <c r="H20" s="209">
        <f>SUM(H5,H19)</f>
        <v>6639627</v>
      </c>
      <c r="I20" s="209">
        <f>F20-H20</f>
        <v>7851552</v>
      </c>
      <c r="J20" s="208"/>
      <c r="M20" s="166">
        <f t="shared" si="4"/>
        <v>990849.846153846</v>
      </c>
    </row>
    <row r="21" ht="15" spans="8:9">
      <c r="H21" s="217" t="s">
        <v>105</v>
      </c>
      <c r="I21" s="145">
        <f>I19/12.5</f>
        <v>628124.16</v>
      </c>
    </row>
    <row r="22" spans="1:1">
      <c r="A22" s="144" t="s">
        <v>92</v>
      </c>
    </row>
    <row r="24" spans="8:8">
      <c r="H24" s="144" t="s">
        <v>86</v>
      </c>
    </row>
    <row r="25" spans="8:9">
      <c r="H25" s="167"/>
      <c r="I25" s="168"/>
    </row>
  </sheetData>
  <mergeCells count="7">
    <mergeCell ref="A1:J1"/>
    <mergeCell ref="A5:C5"/>
    <mergeCell ref="A19:C19"/>
    <mergeCell ref="A20:C20"/>
    <mergeCell ref="H25:I25"/>
    <mergeCell ref="A3:A4"/>
    <mergeCell ref="A6:A18"/>
  </mergeCells>
  <pageMargins left="0.269444444444444" right="0.259722222222222" top="0.259722222222222" bottom="0.189583333333333" header="0.169444444444444" footer="0.169444444444444"/>
  <pageSetup paperSize="9" scale="82" orientation="portrait"/>
  <headerFooter alignWithMargins="0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X49"/>
  <sheetViews>
    <sheetView workbookViewId="0">
      <selection activeCell="M59" sqref="M59"/>
    </sheetView>
  </sheetViews>
  <sheetFormatPr defaultColWidth="9" defaultRowHeight="14.25"/>
  <cols>
    <col min="1" max="1" width="6" style="144" customWidth="1"/>
    <col min="2" max="2" width="3.875" style="144" customWidth="1"/>
    <col min="3" max="3" width="9.375" style="144" hidden="1" customWidth="1"/>
    <col min="4" max="4" width="24.125" style="144" hidden="1" customWidth="1"/>
    <col min="5" max="5" width="11.5" style="144" hidden="1" customWidth="1"/>
    <col min="6" max="6" width="9.625" style="144" hidden="1" customWidth="1"/>
    <col min="7" max="7" width="11.375" style="144" hidden="1" customWidth="1"/>
    <col min="8" max="8" width="13.5" style="144" customWidth="1"/>
    <col min="9" max="9" width="14" style="144" customWidth="1"/>
    <col min="10" max="10" width="10.375" style="144" customWidth="1"/>
    <col min="11" max="11" width="14.625" style="144" customWidth="1"/>
    <col min="12" max="12" width="13.875" style="145" customWidth="1"/>
    <col min="13" max="13" width="12.125" style="144" customWidth="1"/>
    <col min="14" max="14" width="12.25" style="144" hidden="1" customWidth="1"/>
    <col min="15" max="16" width="8" style="144" hidden="1" customWidth="1"/>
    <col min="17" max="17" width="13.875" style="144" hidden="1" customWidth="1"/>
    <col min="18" max="19" width="4.125" style="170" hidden="1" customWidth="1"/>
    <col min="20" max="20" width="5" style="170" hidden="1" customWidth="1"/>
    <col min="21" max="21" width="4.125" style="170" hidden="1" customWidth="1"/>
    <col min="22" max="22" width="5" style="170" hidden="1" customWidth="1"/>
    <col min="23" max="23" width="4.125" style="170" hidden="1" customWidth="1"/>
    <col min="24" max="48" width="5" style="170" hidden="1" customWidth="1"/>
    <col min="49" max="49" width="9" style="144"/>
    <col min="50" max="50" width="13.125" style="144" customWidth="1"/>
    <col min="51" max="16384" width="9" style="144"/>
  </cols>
  <sheetData>
    <row r="1" ht="27.75" customHeight="1" spans="1:13">
      <c r="A1" s="146" t="s">
        <v>106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="169" customFormat="1" ht="20.25" customHeight="1" spans="1:48">
      <c r="A2" s="171" t="s">
        <v>30</v>
      </c>
      <c r="B2" s="171" t="s">
        <v>31</v>
      </c>
      <c r="C2" s="171" t="s">
        <v>107</v>
      </c>
      <c r="D2" s="171" t="s">
        <v>108</v>
      </c>
      <c r="E2" s="171" t="s">
        <v>109</v>
      </c>
      <c r="F2" s="171" t="s">
        <v>110</v>
      </c>
      <c r="G2" s="171" t="s">
        <v>32</v>
      </c>
      <c r="H2" s="171" t="s">
        <v>33</v>
      </c>
      <c r="I2" s="171" t="s">
        <v>34</v>
      </c>
      <c r="J2" s="171" t="s">
        <v>35</v>
      </c>
      <c r="K2" s="171" t="s">
        <v>36</v>
      </c>
      <c r="L2" s="165" t="s">
        <v>84</v>
      </c>
      <c r="M2" s="171" t="s">
        <v>10</v>
      </c>
      <c r="N2" s="187" t="s">
        <v>110</v>
      </c>
      <c r="O2" s="187" t="s">
        <v>111</v>
      </c>
      <c r="P2" s="187" t="s">
        <v>112</v>
      </c>
      <c r="Q2" s="187" t="s">
        <v>113</v>
      </c>
      <c r="R2" s="195">
        <v>40603</v>
      </c>
      <c r="S2" s="195">
        <v>40604</v>
      </c>
      <c r="T2" s="195">
        <v>40605</v>
      </c>
      <c r="U2" s="195">
        <v>40606</v>
      </c>
      <c r="V2" s="195">
        <v>40607</v>
      </c>
      <c r="W2" s="195">
        <v>40608</v>
      </c>
      <c r="X2" s="195">
        <v>40609</v>
      </c>
      <c r="Y2" s="195">
        <v>40610</v>
      </c>
      <c r="Z2" s="195">
        <v>40611</v>
      </c>
      <c r="AA2" s="195">
        <v>40612</v>
      </c>
      <c r="AB2" s="195">
        <v>40613</v>
      </c>
      <c r="AC2" s="195">
        <v>40614</v>
      </c>
      <c r="AD2" s="195">
        <v>40615</v>
      </c>
      <c r="AE2" s="195">
        <v>40616</v>
      </c>
      <c r="AF2" s="195">
        <v>40617</v>
      </c>
      <c r="AG2" s="195">
        <v>40618</v>
      </c>
      <c r="AH2" s="195">
        <v>40619</v>
      </c>
      <c r="AI2" s="195">
        <v>40620</v>
      </c>
      <c r="AJ2" s="195">
        <v>40621</v>
      </c>
      <c r="AK2" s="195">
        <v>40622</v>
      </c>
      <c r="AL2" s="195">
        <v>40623</v>
      </c>
      <c r="AM2" s="195">
        <v>40624</v>
      </c>
      <c r="AN2" s="195">
        <v>40625</v>
      </c>
      <c r="AO2" s="195">
        <v>40626</v>
      </c>
      <c r="AP2" s="195">
        <v>40627</v>
      </c>
      <c r="AQ2" s="195">
        <v>40628</v>
      </c>
      <c r="AR2" s="195">
        <v>40629</v>
      </c>
      <c r="AS2" s="195">
        <v>40630</v>
      </c>
      <c r="AT2" s="195">
        <v>40631</v>
      </c>
      <c r="AU2" s="195">
        <v>40632</v>
      </c>
      <c r="AV2" s="195">
        <v>40633</v>
      </c>
    </row>
    <row r="3" s="143" customFormat="1" ht="15" hidden="1" customHeight="1" spans="1:48">
      <c r="A3" s="172" t="s">
        <v>114</v>
      </c>
      <c r="B3" s="147">
        <v>1</v>
      </c>
      <c r="C3" s="147" t="s">
        <v>115</v>
      </c>
      <c r="D3" s="147" t="s">
        <v>116</v>
      </c>
      <c r="E3" s="147">
        <v>31.21</v>
      </c>
      <c r="F3" s="173">
        <v>2596</v>
      </c>
      <c r="G3" s="148">
        <v>40663</v>
      </c>
      <c r="H3" s="148">
        <v>40680</v>
      </c>
      <c r="I3" s="149">
        <f>690+101249.6</f>
        <v>101939.6</v>
      </c>
      <c r="J3" s="148"/>
      <c r="K3" s="149"/>
      <c r="L3" s="149">
        <f>I3-K3</f>
        <v>101939.6</v>
      </c>
      <c r="M3" s="147"/>
      <c r="N3" s="188">
        <f>SUM(R3:AV3)</f>
        <v>10</v>
      </c>
      <c r="O3" s="188"/>
      <c r="P3" s="188">
        <f>N3-O3</f>
        <v>10</v>
      </c>
      <c r="Q3" s="196">
        <f>E3*P3</f>
        <v>312.1</v>
      </c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>
        <v>10</v>
      </c>
      <c r="AQ3" s="188"/>
      <c r="AR3" s="188"/>
      <c r="AS3" s="188"/>
      <c r="AT3" s="188"/>
      <c r="AU3" s="188"/>
      <c r="AV3" s="188"/>
    </row>
    <row r="4" s="143" customFormat="1" ht="15" hidden="1" customHeight="1" spans="1:48">
      <c r="A4" s="174"/>
      <c r="B4" s="147">
        <v>2</v>
      </c>
      <c r="C4" s="147" t="s">
        <v>117</v>
      </c>
      <c r="D4" s="147" t="s">
        <v>118</v>
      </c>
      <c r="E4" s="147">
        <v>11</v>
      </c>
      <c r="F4" s="173">
        <v>7850</v>
      </c>
      <c r="G4" s="148">
        <v>40693</v>
      </c>
      <c r="H4" s="148">
        <v>40703</v>
      </c>
      <c r="I4" s="149">
        <f>300875</f>
        <v>300875</v>
      </c>
      <c r="J4" s="148"/>
      <c r="K4" s="149"/>
      <c r="L4" s="149">
        <f t="shared" ref="L4:L15" si="0">L3+I4-K4</f>
        <v>402814.6</v>
      </c>
      <c r="M4" s="147"/>
      <c r="N4" s="188">
        <f t="shared" ref="N4:N14" si="1">SUM(R4:AV4)</f>
        <v>10</v>
      </c>
      <c r="O4" s="188"/>
      <c r="P4" s="188">
        <f t="shared" ref="P4:P15" si="2">N4-O4</f>
        <v>10</v>
      </c>
      <c r="Q4" s="196">
        <f t="shared" ref="Q4:Q14" si="3">E4*P4</f>
        <v>110</v>
      </c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>
        <v>10</v>
      </c>
      <c r="AQ4" s="188"/>
      <c r="AR4" s="188"/>
      <c r="AS4" s="188"/>
      <c r="AT4" s="188"/>
      <c r="AU4" s="188"/>
      <c r="AV4" s="188"/>
    </row>
    <row r="5" s="143" customFormat="1" ht="15" hidden="1" customHeight="1" spans="1:48">
      <c r="A5" s="174"/>
      <c r="B5" s="147">
        <v>3</v>
      </c>
      <c r="C5" s="147" t="s">
        <v>119</v>
      </c>
      <c r="D5" s="147" t="s">
        <v>120</v>
      </c>
      <c r="E5" s="147">
        <v>32.46</v>
      </c>
      <c r="F5" s="173">
        <v>8510</v>
      </c>
      <c r="G5" s="148">
        <v>40723</v>
      </c>
      <c r="H5" s="148">
        <v>40735</v>
      </c>
      <c r="I5" s="149">
        <v>312203.44</v>
      </c>
      <c r="J5" s="148"/>
      <c r="K5" s="149"/>
      <c r="L5" s="149">
        <f t="shared" si="0"/>
        <v>715018.04</v>
      </c>
      <c r="M5" s="147"/>
      <c r="N5" s="188">
        <f t="shared" si="1"/>
        <v>5</v>
      </c>
      <c r="O5" s="188"/>
      <c r="P5" s="188">
        <f t="shared" si="2"/>
        <v>5</v>
      </c>
      <c r="Q5" s="196">
        <f t="shared" si="3"/>
        <v>162.3</v>
      </c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>
        <v>5</v>
      </c>
      <c r="AQ5" s="188"/>
      <c r="AR5" s="188"/>
      <c r="AS5" s="188"/>
      <c r="AT5" s="188"/>
      <c r="AU5" s="188"/>
      <c r="AV5" s="188"/>
    </row>
    <row r="6" s="143" customFormat="1" ht="15" hidden="1" customHeight="1" spans="1:48">
      <c r="A6" s="174"/>
      <c r="B6" s="147">
        <v>4</v>
      </c>
      <c r="C6" s="147" t="s">
        <v>121</v>
      </c>
      <c r="D6" s="147" t="s">
        <v>122</v>
      </c>
      <c r="E6" s="147">
        <v>32.46</v>
      </c>
      <c r="F6" s="173">
        <v>1040</v>
      </c>
      <c r="G6" s="148">
        <v>40754</v>
      </c>
      <c r="H6" s="148">
        <v>40764</v>
      </c>
      <c r="I6" s="149">
        <v>36636</v>
      </c>
      <c r="J6" s="148"/>
      <c r="K6" s="149"/>
      <c r="L6" s="149">
        <f t="shared" si="0"/>
        <v>751654.04</v>
      </c>
      <c r="M6" s="147"/>
      <c r="N6" s="188">
        <f t="shared" si="1"/>
        <v>5</v>
      </c>
      <c r="O6" s="188"/>
      <c r="P6" s="188">
        <f t="shared" si="2"/>
        <v>5</v>
      </c>
      <c r="Q6" s="196">
        <f t="shared" si="3"/>
        <v>162.3</v>
      </c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>
        <v>5</v>
      </c>
      <c r="AQ6" s="188"/>
      <c r="AR6" s="188"/>
      <c r="AS6" s="188"/>
      <c r="AT6" s="188"/>
      <c r="AU6" s="188"/>
      <c r="AV6" s="188"/>
    </row>
    <row r="7" s="143" customFormat="1" ht="15" hidden="1" customHeight="1" spans="1:48">
      <c r="A7" s="174"/>
      <c r="B7" s="147">
        <v>5</v>
      </c>
      <c r="C7" s="147" t="s">
        <v>123</v>
      </c>
      <c r="D7" s="147" t="s">
        <v>124</v>
      </c>
      <c r="E7" s="147">
        <v>39</v>
      </c>
      <c r="F7" s="173">
        <v>2405</v>
      </c>
      <c r="G7" s="148">
        <v>40786</v>
      </c>
      <c r="H7" s="148">
        <v>40786</v>
      </c>
      <c r="I7" s="189">
        <v>77839.25</v>
      </c>
      <c r="J7" s="190"/>
      <c r="K7" s="189"/>
      <c r="L7" s="149">
        <f t="shared" si="0"/>
        <v>829493.29</v>
      </c>
      <c r="M7" s="147"/>
      <c r="N7" s="188">
        <f t="shared" si="1"/>
        <v>0</v>
      </c>
      <c r="O7" s="188"/>
      <c r="P7" s="188">
        <f t="shared" si="2"/>
        <v>0</v>
      </c>
      <c r="Q7" s="196">
        <f t="shared" si="3"/>
        <v>0</v>
      </c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</row>
    <row r="8" s="143" customFormat="1" ht="15" hidden="1" customHeight="1" spans="1:48">
      <c r="A8" s="174"/>
      <c r="B8" s="147">
        <v>6</v>
      </c>
      <c r="C8" s="147" t="s">
        <v>125</v>
      </c>
      <c r="D8" s="147" t="s">
        <v>126</v>
      </c>
      <c r="E8" s="147">
        <v>39</v>
      </c>
      <c r="F8" s="173" t="s">
        <v>90</v>
      </c>
      <c r="G8" s="148">
        <v>40786</v>
      </c>
      <c r="H8" s="148">
        <v>40786</v>
      </c>
      <c r="I8" s="191">
        <v>116000</v>
      </c>
      <c r="J8" s="148"/>
      <c r="K8" s="149"/>
      <c r="L8" s="149">
        <f t="shared" si="0"/>
        <v>945493.29</v>
      </c>
      <c r="M8" s="147"/>
      <c r="N8" s="188">
        <f t="shared" si="1"/>
        <v>0</v>
      </c>
      <c r="O8" s="188"/>
      <c r="P8" s="188">
        <f t="shared" si="2"/>
        <v>0</v>
      </c>
      <c r="Q8" s="196">
        <f t="shared" si="3"/>
        <v>0</v>
      </c>
      <c r="R8" s="188" t="s">
        <v>127</v>
      </c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</row>
    <row r="9" s="143" customFormat="1" ht="15" hidden="1" customHeight="1" spans="1:48">
      <c r="A9" s="174"/>
      <c r="B9" s="147">
        <v>7</v>
      </c>
      <c r="C9" s="147" t="s">
        <v>128</v>
      </c>
      <c r="D9" s="147" t="s">
        <v>129</v>
      </c>
      <c r="E9" s="147">
        <v>11.47</v>
      </c>
      <c r="F9" s="173"/>
      <c r="G9" s="148"/>
      <c r="H9" s="148">
        <v>40859</v>
      </c>
      <c r="I9" s="150">
        <f>-300875-312203.44-101249.6-690-36636-116000-77839.25</f>
        <v>-945493.29</v>
      </c>
      <c r="J9" s="148"/>
      <c r="K9" s="149"/>
      <c r="L9" s="149">
        <f t="shared" si="0"/>
        <v>1.16415321826935e-10</v>
      </c>
      <c r="M9" s="147"/>
      <c r="N9" s="188">
        <f t="shared" si="1"/>
        <v>0</v>
      </c>
      <c r="O9" s="188"/>
      <c r="P9" s="188">
        <f t="shared" si="2"/>
        <v>0</v>
      </c>
      <c r="Q9" s="196">
        <f t="shared" si="3"/>
        <v>0</v>
      </c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="143" customFormat="1" ht="15" hidden="1" customHeight="1" spans="1:48">
      <c r="A10" s="174"/>
      <c r="B10" s="147">
        <v>8</v>
      </c>
      <c r="C10" s="147" t="s">
        <v>130</v>
      </c>
      <c r="D10" s="147" t="s">
        <v>131</v>
      </c>
      <c r="E10" s="147">
        <v>51</v>
      </c>
      <c r="F10" s="173"/>
      <c r="G10" s="148"/>
      <c r="H10" s="148">
        <v>40859</v>
      </c>
      <c r="I10" s="149">
        <v>735339.96</v>
      </c>
      <c r="J10" s="148"/>
      <c r="K10" s="149"/>
      <c r="L10" s="149">
        <f t="shared" si="0"/>
        <v>735339.96</v>
      </c>
      <c r="M10" s="147"/>
      <c r="N10" s="188">
        <f t="shared" si="1"/>
        <v>0</v>
      </c>
      <c r="O10" s="188"/>
      <c r="P10" s="188">
        <f t="shared" si="2"/>
        <v>0</v>
      </c>
      <c r="Q10" s="196">
        <f t="shared" si="3"/>
        <v>0</v>
      </c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="143" customFormat="1" ht="15" hidden="1" customHeight="1" spans="1:48">
      <c r="A11" s="174"/>
      <c r="B11" s="147">
        <v>9</v>
      </c>
      <c r="C11" s="147" t="s">
        <v>132</v>
      </c>
      <c r="D11" s="147" t="s">
        <v>133</v>
      </c>
      <c r="E11" s="147">
        <v>51</v>
      </c>
      <c r="F11" s="173"/>
      <c r="G11" s="148"/>
      <c r="H11" s="148">
        <v>40859</v>
      </c>
      <c r="I11" s="149">
        <v>2409.15</v>
      </c>
      <c r="J11" s="148"/>
      <c r="K11" s="149"/>
      <c r="L11" s="149">
        <f t="shared" si="0"/>
        <v>737749.11</v>
      </c>
      <c r="M11" s="147"/>
      <c r="N11" s="188">
        <f t="shared" si="1"/>
        <v>0</v>
      </c>
      <c r="O11" s="188"/>
      <c r="P11" s="188">
        <f t="shared" si="2"/>
        <v>0</v>
      </c>
      <c r="Q11" s="196">
        <f t="shared" si="3"/>
        <v>0</v>
      </c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</row>
    <row r="12" s="143" customFormat="1" ht="15" hidden="1" customHeight="1" spans="1:48">
      <c r="A12" s="174"/>
      <c r="B12" s="147">
        <v>10</v>
      </c>
      <c r="C12" s="147" t="s">
        <v>134</v>
      </c>
      <c r="D12" s="147" t="s">
        <v>135</v>
      </c>
      <c r="E12" s="147">
        <v>20</v>
      </c>
      <c r="F12" s="173"/>
      <c r="G12" s="148"/>
      <c r="H12" s="148">
        <v>40859</v>
      </c>
      <c r="I12" s="149">
        <v>386000</v>
      </c>
      <c r="J12" s="148"/>
      <c r="K12" s="149"/>
      <c r="L12" s="149">
        <f t="shared" si="0"/>
        <v>1123749.11</v>
      </c>
      <c r="M12" s="147"/>
      <c r="N12" s="188">
        <f t="shared" si="1"/>
        <v>0</v>
      </c>
      <c r="O12" s="188"/>
      <c r="P12" s="188">
        <f t="shared" si="2"/>
        <v>0</v>
      </c>
      <c r="Q12" s="196">
        <f t="shared" si="3"/>
        <v>0</v>
      </c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</row>
    <row r="13" s="143" customFormat="1" ht="15" hidden="1" customHeight="1" spans="1:48">
      <c r="A13" s="174"/>
      <c r="B13" s="147">
        <v>11</v>
      </c>
      <c r="C13" s="147" t="s">
        <v>136</v>
      </c>
      <c r="D13" s="147" t="s">
        <v>137</v>
      </c>
      <c r="E13" s="147">
        <v>20.5</v>
      </c>
      <c r="F13" s="173"/>
      <c r="G13" s="148">
        <v>40876</v>
      </c>
      <c r="H13" s="148">
        <v>40904</v>
      </c>
      <c r="I13" s="149">
        <v>192185.16</v>
      </c>
      <c r="J13" s="148"/>
      <c r="K13" s="149"/>
      <c r="L13" s="149">
        <f t="shared" si="0"/>
        <v>1315934.27</v>
      </c>
      <c r="M13" s="147"/>
      <c r="N13" s="188">
        <f t="shared" si="1"/>
        <v>0</v>
      </c>
      <c r="O13" s="188"/>
      <c r="P13" s="188">
        <f t="shared" si="2"/>
        <v>0</v>
      </c>
      <c r="Q13" s="196">
        <f t="shared" si="3"/>
        <v>0</v>
      </c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</row>
    <row r="14" s="143" customFormat="1" ht="15" hidden="1" customHeight="1" spans="1:50">
      <c r="A14" s="174"/>
      <c r="B14" s="147">
        <v>12</v>
      </c>
      <c r="C14" s="147" t="s">
        <v>138</v>
      </c>
      <c r="D14" s="147" t="s">
        <v>139</v>
      </c>
      <c r="E14" s="147">
        <v>20.5</v>
      </c>
      <c r="F14" s="173"/>
      <c r="G14" s="148">
        <v>40906</v>
      </c>
      <c r="H14" s="148">
        <v>40938</v>
      </c>
      <c r="I14" s="149">
        <v>66076.92</v>
      </c>
      <c r="J14" s="148"/>
      <c r="K14" s="149"/>
      <c r="L14" s="149">
        <f t="shared" si="0"/>
        <v>1382011.19</v>
      </c>
      <c r="M14" s="147"/>
      <c r="N14" s="188">
        <f t="shared" si="1"/>
        <v>0</v>
      </c>
      <c r="O14" s="188"/>
      <c r="P14" s="188">
        <f t="shared" si="2"/>
        <v>0</v>
      </c>
      <c r="Q14" s="196">
        <f t="shared" si="3"/>
        <v>0</v>
      </c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X14" s="152"/>
    </row>
    <row r="15" s="143" customFormat="1" ht="27.75" hidden="1" customHeight="1" spans="1:50">
      <c r="A15" s="174"/>
      <c r="B15" s="175">
        <v>13</v>
      </c>
      <c r="C15" s="176" t="s">
        <v>140</v>
      </c>
      <c r="D15" s="177"/>
      <c r="E15" s="175"/>
      <c r="F15" s="178"/>
      <c r="G15" s="179"/>
      <c r="H15" s="180"/>
      <c r="I15" s="165"/>
      <c r="J15" s="180"/>
      <c r="K15" s="165"/>
      <c r="L15" s="165">
        <f t="shared" si="0"/>
        <v>1382011.19</v>
      </c>
      <c r="M15" s="171"/>
      <c r="N15" s="192">
        <f>SUM(N3:N14)</f>
        <v>30</v>
      </c>
      <c r="O15" s="192"/>
      <c r="P15" s="192">
        <f t="shared" si="2"/>
        <v>30</v>
      </c>
      <c r="Q15" s="197">
        <f>SUM(Q3:Q14)</f>
        <v>746.7</v>
      </c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X15" s="152"/>
    </row>
    <row r="16" s="143" customFormat="1" ht="27.75" hidden="1" customHeight="1" spans="1:50">
      <c r="A16" s="181" t="s">
        <v>141</v>
      </c>
      <c r="B16" s="182"/>
      <c r="C16" s="182"/>
      <c r="D16" s="182"/>
      <c r="E16" s="182"/>
      <c r="F16" s="182"/>
      <c r="G16" s="183"/>
      <c r="H16" s="180"/>
      <c r="I16" s="165">
        <f>SUM(I3:I15)</f>
        <v>1382011.19</v>
      </c>
      <c r="J16" s="180"/>
      <c r="K16" s="165">
        <f>SUM(K3:K15)</f>
        <v>0</v>
      </c>
      <c r="L16" s="165">
        <f>I16-K16</f>
        <v>1382011.19</v>
      </c>
      <c r="M16" s="171"/>
      <c r="N16" s="193"/>
      <c r="O16" s="193"/>
      <c r="P16" s="193"/>
      <c r="Q16" s="199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X16" s="152"/>
    </row>
    <row r="17" hidden="1" customHeight="1" spans="1:50">
      <c r="A17" s="184" t="s">
        <v>142</v>
      </c>
      <c r="B17" s="185">
        <v>1</v>
      </c>
      <c r="C17" s="185"/>
      <c r="D17" s="185"/>
      <c r="E17" s="185"/>
      <c r="F17" s="185"/>
      <c r="G17" s="148">
        <v>40939</v>
      </c>
      <c r="H17" s="148">
        <v>40955</v>
      </c>
      <c r="I17" s="149">
        <v>313606</v>
      </c>
      <c r="J17" s="148">
        <v>40942</v>
      </c>
      <c r="K17" s="149">
        <v>192185.16</v>
      </c>
      <c r="L17" s="149">
        <f>L16+I17-K17</f>
        <v>1503432.03</v>
      </c>
      <c r="M17" s="185"/>
      <c r="AX17" s="152"/>
    </row>
    <row r="18" hidden="1" spans="1:50">
      <c r="A18" s="186"/>
      <c r="B18" s="185">
        <v>2</v>
      </c>
      <c r="C18" s="185"/>
      <c r="D18" s="185"/>
      <c r="E18" s="185"/>
      <c r="F18" s="185"/>
      <c r="G18" s="148">
        <v>40876</v>
      </c>
      <c r="H18" s="148">
        <v>40999</v>
      </c>
      <c r="I18" s="149">
        <v>94620.86</v>
      </c>
      <c r="J18" s="148"/>
      <c r="K18" s="149"/>
      <c r="L18" s="149">
        <f t="shared" ref="L18:L32" si="4">L17+I18-K18</f>
        <v>1598052.89</v>
      </c>
      <c r="M18" s="185"/>
      <c r="AX18" s="152"/>
    </row>
    <row r="19" hidden="1" spans="1:50">
      <c r="A19" s="186"/>
      <c r="B19" s="185">
        <v>3</v>
      </c>
      <c r="C19" s="185"/>
      <c r="D19" s="185"/>
      <c r="E19" s="185"/>
      <c r="F19" s="185"/>
      <c r="G19" s="148">
        <v>40968</v>
      </c>
      <c r="H19" s="148">
        <v>40999</v>
      </c>
      <c r="I19" s="149">
        <v>209788</v>
      </c>
      <c r="J19" s="185"/>
      <c r="K19" s="185"/>
      <c r="L19" s="149">
        <f t="shared" si="4"/>
        <v>1807840.89</v>
      </c>
      <c r="M19" s="185"/>
      <c r="AX19" s="152"/>
    </row>
    <row r="20" hidden="1" spans="1:50">
      <c r="A20" s="186"/>
      <c r="B20" s="185">
        <v>4</v>
      </c>
      <c r="C20" s="185"/>
      <c r="D20" s="185"/>
      <c r="E20" s="185"/>
      <c r="F20" s="185"/>
      <c r="G20" s="148">
        <v>40998</v>
      </c>
      <c r="H20" s="148">
        <v>40999</v>
      </c>
      <c r="I20" s="149">
        <v>223305.7</v>
      </c>
      <c r="J20" s="148">
        <v>41005</v>
      </c>
      <c r="K20" s="149">
        <v>700000</v>
      </c>
      <c r="L20" s="149">
        <f t="shared" si="4"/>
        <v>1331146.59</v>
      </c>
      <c r="M20" s="185"/>
      <c r="AX20" s="152"/>
    </row>
    <row r="21" hidden="1" spans="1:50">
      <c r="A21" s="186"/>
      <c r="B21" s="185">
        <v>5</v>
      </c>
      <c r="C21" s="185"/>
      <c r="D21" s="185"/>
      <c r="E21" s="185"/>
      <c r="F21" s="185"/>
      <c r="G21" s="148">
        <v>41060</v>
      </c>
      <c r="H21" s="148">
        <v>41060</v>
      </c>
      <c r="I21" s="149">
        <v>118340.54</v>
      </c>
      <c r="J21" s="148"/>
      <c r="K21" s="149"/>
      <c r="L21" s="149">
        <f t="shared" si="4"/>
        <v>1449487.13</v>
      </c>
      <c r="M21" s="185"/>
      <c r="AX21" s="152"/>
    </row>
    <row r="22" hidden="1" spans="1:50">
      <c r="A22" s="186"/>
      <c r="B22" s="185">
        <v>6</v>
      </c>
      <c r="C22" s="185"/>
      <c r="D22" s="185"/>
      <c r="E22" s="185"/>
      <c r="F22" s="185"/>
      <c r="G22" s="148">
        <v>41086</v>
      </c>
      <c r="H22" s="148">
        <v>41086</v>
      </c>
      <c r="I22" s="149">
        <v>44298.7</v>
      </c>
      <c r="J22" s="185"/>
      <c r="K22" s="185"/>
      <c r="L22" s="149">
        <f t="shared" si="4"/>
        <v>1493785.83</v>
      </c>
      <c r="M22" s="185"/>
      <c r="AX22" s="152"/>
    </row>
    <row r="23" hidden="1" spans="1:50">
      <c r="A23" s="186"/>
      <c r="B23" s="185">
        <v>7</v>
      </c>
      <c r="C23" s="185"/>
      <c r="D23" s="185"/>
      <c r="E23" s="185"/>
      <c r="F23" s="185"/>
      <c r="G23" s="148">
        <v>41086</v>
      </c>
      <c r="H23" s="148">
        <v>41086</v>
      </c>
      <c r="I23" s="149">
        <v>193322.23</v>
      </c>
      <c r="J23" s="185"/>
      <c r="K23" s="185"/>
      <c r="L23" s="149">
        <f t="shared" si="4"/>
        <v>1687108.06</v>
      </c>
      <c r="M23" s="185"/>
      <c r="AX23" s="152"/>
    </row>
    <row r="24" hidden="1" spans="1:50">
      <c r="A24" s="186"/>
      <c r="B24" s="185">
        <v>8</v>
      </c>
      <c r="C24" s="185"/>
      <c r="D24" s="185"/>
      <c r="E24" s="185"/>
      <c r="F24" s="185"/>
      <c r="G24" s="148">
        <v>41107</v>
      </c>
      <c r="H24" s="148">
        <v>41107</v>
      </c>
      <c r="I24" s="149">
        <v>133326.65</v>
      </c>
      <c r="J24" s="185"/>
      <c r="K24" s="185"/>
      <c r="L24" s="149">
        <f t="shared" si="4"/>
        <v>1820434.71</v>
      </c>
      <c r="M24" s="185"/>
      <c r="AX24" s="152"/>
    </row>
    <row r="25" hidden="1" spans="1:50">
      <c r="A25" s="186"/>
      <c r="B25" s="185">
        <v>9</v>
      </c>
      <c r="C25" s="185"/>
      <c r="D25" s="185"/>
      <c r="E25" s="185"/>
      <c r="F25" s="185"/>
      <c r="G25" s="148">
        <v>41176</v>
      </c>
      <c r="H25" s="148">
        <v>41178</v>
      </c>
      <c r="I25" s="149">
        <v>84231.58</v>
      </c>
      <c r="J25" s="148">
        <v>41124</v>
      </c>
      <c r="K25" s="149">
        <v>843378.35</v>
      </c>
      <c r="L25" s="149">
        <f t="shared" si="4"/>
        <v>1061287.94</v>
      </c>
      <c r="M25" s="185"/>
      <c r="AX25" s="152"/>
    </row>
    <row r="26" hidden="1" spans="1:50">
      <c r="A26" s="186"/>
      <c r="B26" s="185">
        <v>10</v>
      </c>
      <c r="C26" s="185"/>
      <c r="D26" s="185"/>
      <c r="E26" s="185"/>
      <c r="F26" s="185"/>
      <c r="G26" s="148">
        <v>41176</v>
      </c>
      <c r="H26" s="148">
        <v>41178</v>
      </c>
      <c r="I26" s="149">
        <v>194140.6272</v>
      </c>
      <c r="J26" s="148"/>
      <c r="K26" s="149"/>
      <c r="L26" s="149">
        <f t="shared" si="4"/>
        <v>1255428.5672</v>
      </c>
      <c r="M26" s="185"/>
      <c r="AX26" s="152"/>
    </row>
    <row r="27" hidden="1" spans="1:50">
      <c r="A27" s="186"/>
      <c r="B27" s="185">
        <v>11</v>
      </c>
      <c r="C27" s="185"/>
      <c r="D27" s="185"/>
      <c r="E27" s="185"/>
      <c r="F27" s="185"/>
      <c r="G27" s="148">
        <v>41153</v>
      </c>
      <c r="H27" s="148">
        <v>41178</v>
      </c>
      <c r="I27" s="150">
        <f>-I18-I20</f>
        <v>-317926.56</v>
      </c>
      <c r="J27" s="148">
        <v>41200</v>
      </c>
      <c r="K27" s="149">
        <v>133326.65</v>
      </c>
      <c r="L27" s="149">
        <f t="shared" si="4"/>
        <v>804175.3572</v>
      </c>
      <c r="M27" s="185"/>
      <c r="AX27" s="152"/>
    </row>
    <row r="28" hidden="1" spans="1:50">
      <c r="A28" s="186"/>
      <c r="B28" s="185">
        <v>12</v>
      </c>
      <c r="C28" s="185"/>
      <c r="D28" s="185"/>
      <c r="E28" s="185"/>
      <c r="F28" s="185"/>
      <c r="G28" s="148">
        <v>41207</v>
      </c>
      <c r="H28" s="148">
        <v>41206</v>
      </c>
      <c r="I28" s="149">
        <v>252594.11</v>
      </c>
      <c r="J28" s="148"/>
      <c r="K28" s="149"/>
      <c r="L28" s="149">
        <f t="shared" si="4"/>
        <v>1056769.4672</v>
      </c>
      <c r="M28" s="185"/>
      <c r="AX28" s="152"/>
    </row>
    <row r="29" hidden="1" spans="1:50">
      <c r="A29" s="186"/>
      <c r="B29" s="185">
        <v>13</v>
      </c>
      <c r="C29" s="185"/>
      <c r="D29" s="185"/>
      <c r="E29" s="185"/>
      <c r="F29" s="185"/>
      <c r="G29" s="148">
        <v>41242</v>
      </c>
      <c r="H29" s="148">
        <v>41242</v>
      </c>
      <c r="I29" s="149">
        <v>302293.55</v>
      </c>
      <c r="J29" s="148"/>
      <c r="K29" s="149"/>
      <c r="L29" s="149">
        <f t="shared" si="4"/>
        <v>1359063.0172</v>
      </c>
      <c r="M29" s="185"/>
      <c r="AX29" s="152"/>
    </row>
    <row r="30" hidden="1" spans="1:13">
      <c r="A30" s="186"/>
      <c r="B30" s="185">
        <v>14</v>
      </c>
      <c r="C30" s="185"/>
      <c r="D30" s="185"/>
      <c r="E30" s="185"/>
      <c r="F30" s="185"/>
      <c r="G30" s="148"/>
      <c r="H30" s="148"/>
      <c r="I30" s="149"/>
      <c r="J30" s="148">
        <v>41271</v>
      </c>
      <c r="K30" s="149">
        <v>38160.2</v>
      </c>
      <c r="L30" s="149">
        <f t="shared" si="4"/>
        <v>1320902.8172</v>
      </c>
      <c r="M30" s="185"/>
    </row>
    <row r="31" hidden="1" spans="1:13">
      <c r="A31" s="186"/>
      <c r="B31" s="185">
        <v>15</v>
      </c>
      <c r="C31" s="185"/>
      <c r="D31" s="185"/>
      <c r="E31" s="185"/>
      <c r="F31" s="185"/>
      <c r="G31" s="148"/>
      <c r="H31" s="148"/>
      <c r="I31" s="149"/>
      <c r="J31" s="148"/>
      <c r="K31" s="149"/>
      <c r="L31" s="149">
        <f t="shared" si="4"/>
        <v>1320902.8172</v>
      </c>
      <c r="M31" s="185"/>
    </row>
    <row r="32" hidden="1" spans="1:13">
      <c r="A32" s="186"/>
      <c r="B32" s="185">
        <v>16</v>
      </c>
      <c r="C32" s="185"/>
      <c r="D32" s="185"/>
      <c r="E32" s="185"/>
      <c r="F32" s="185"/>
      <c r="G32" s="148"/>
      <c r="H32" s="148"/>
      <c r="I32" s="149"/>
      <c r="J32" s="148"/>
      <c r="K32" s="149"/>
      <c r="L32" s="149">
        <f t="shared" si="4"/>
        <v>1320902.8172</v>
      </c>
      <c r="M32" s="185"/>
    </row>
    <row r="33" ht="23.25" hidden="1" customHeight="1" spans="1:13">
      <c r="A33" s="181" t="s">
        <v>141</v>
      </c>
      <c r="B33" s="182"/>
      <c r="C33" s="182"/>
      <c r="D33" s="182"/>
      <c r="E33" s="182"/>
      <c r="F33" s="182"/>
      <c r="G33" s="183"/>
      <c r="H33" s="180"/>
      <c r="I33" s="165">
        <f>SUM(I17:I32)</f>
        <v>1845941.9872</v>
      </c>
      <c r="J33" s="148"/>
      <c r="K33" s="165">
        <f>SUM(K17:K32)</f>
        <v>1907050.36</v>
      </c>
      <c r="L33" s="165">
        <f>L16+I33-K33</f>
        <v>1320902.8172</v>
      </c>
      <c r="M33" s="171"/>
    </row>
    <row r="34" spans="1:13">
      <c r="A34" s="184" t="s">
        <v>143</v>
      </c>
      <c r="B34" s="185">
        <v>1</v>
      </c>
      <c r="C34" s="185"/>
      <c r="D34" s="185"/>
      <c r="E34" s="185"/>
      <c r="F34" s="185"/>
      <c r="G34" s="148"/>
      <c r="H34" s="148">
        <v>41454</v>
      </c>
      <c r="I34" s="149">
        <v>482175.85</v>
      </c>
      <c r="J34" s="148">
        <v>41279</v>
      </c>
      <c r="K34" s="149">
        <v>450000</v>
      </c>
      <c r="L34" s="149">
        <f>L33+I34-K34</f>
        <v>1353078.6672</v>
      </c>
      <c r="M34" s="185"/>
    </row>
    <row r="35" spans="1:13">
      <c r="A35" s="186"/>
      <c r="B35" s="185">
        <v>2</v>
      </c>
      <c r="C35" s="185"/>
      <c r="D35" s="185"/>
      <c r="E35" s="185"/>
      <c r="F35" s="185"/>
      <c r="G35" s="148"/>
      <c r="H35" s="148">
        <v>41570</v>
      </c>
      <c r="I35" s="149">
        <f>128566.05+455392.59+214434.04</f>
        <v>798392.68</v>
      </c>
      <c r="J35" s="148">
        <v>41422</v>
      </c>
      <c r="K35" s="149">
        <v>550000</v>
      </c>
      <c r="L35" s="149">
        <f t="shared" ref="L35:L47" si="5">L34+I35-K35</f>
        <v>1601471.3472</v>
      </c>
      <c r="M35" s="185"/>
    </row>
    <row r="36" spans="1:13">
      <c r="A36" s="186"/>
      <c r="B36" s="185">
        <v>3</v>
      </c>
      <c r="C36" s="185"/>
      <c r="D36" s="185"/>
      <c r="E36" s="185"/>
      <c r="F36" s="185"/>
      <c r="G36" s="148"/>
      <c r="H36" s="148">
        <v>41745</v>
      </c>
      <c r="I36" s="149">
        <f>-214434.04-455392.59-128566.05</f>
        <v>-798392.68</v>
      </c>
      <c r="J36" s="148">
        <v>41544</v>
      </c>
      <c r="K36" s="194">
        <v>800669.52</v>
      </c>
      <c r="L36" s="149">
        <f t="shared" si="5"/>
        <v>2409.14720000012</v>
      </c>
      <c r="M36" s="185"/>
    </row>
    <row r="37" spans="1:13">
      <c r="A37" s="186"/>
      <c r="B37" s="185">
        <v>4</v>
      </c>
      <c r="C37" s="185"/>
      <c r="D37" s="185"/>
      <c r="E37" s="185"/>
      <c r="F37" s="185"/>
      <c r="G37" s="148"/>
      <c r="H37" s="148">
        <v>41881</v>
      </c>
      <c r="I37" s="149">
        <v>210866.46</v>
      </c>
      <c r="J37" s="148">
        <v>42226</v>
      </c>
      <c r="K37" s="149">
        <v>210866.46</v>
      </c>
      <c r="L37" s="149">
        <f t="shared" si="5"/>
        <v>2409.14720000012</v>
      </c>
      <c r="M37" s="185"/>
    </row>
    <row r="38" spans="1:13">
      <c r="A38" s="186"/>
      <c r="B38" s="185">
        <v>5</v>
      </c>
      <c r="C38" s="185"/>
      <c r="D38" s="185"/>
      <c r="E38" s="185"/>
      <c r="F38" s="185"/>
      <c r="G38" s="148"/>
      <c r="H38" s="148"/>
      <c r="I38" s="149"/>
      <c r="J38" s="148"/>
      <c r="K38" s="149"/>
      <c r="L38" s="149">
        <f t="shared" si="5"/>
        <v>2409.14720000012</v>
      </c>
      <c r="M38" s="185"/>
    </row>
    <row r="39" spans="1:13">
      <c r="A39" s="186"/>
      <c r="B39" s="185">
        <v>6</v>
      </c>
      <c r="C39" s="185"/>
      <c r="D39" s="185"/>
      <c r="E39" s="185"/>
      <c r="F39" s="185"/>
      <c r="G39" s="148"/>
      <c r="H39" s="148"/>
      <c r="I39" s="149"/>
      <c r="J39" s="185"/>
      <c r="K39" s="185"/>
      <c r="L39" s="149">
        <f t="shared" si="5"/>
        <v>2409.14720000012</v>
      </c>
      <c r="M39" s="185"/>
    </row>
    <row r="40" spans="1:50">
      <c r="A40" s="186"/>
      <c r="B40" s="185">
        <v>7</v>
      </c>
      <c r="C40" s="185"/>
      <c r="D40" s="185"/>
      <c r="E40" s="185"/>
      <c r="F40" s="185"/>
      <c r="G40" s="148"/>
      <c r="H40" s="148"/>
      <c r="I40" s="149"/>
      <c r="J40" s="185"/>
      <c r="K40" s="185"/>
      <c r="L40" s="149">
        <f t="shared" si="5"/>
        <v>2409.14720000012</v>
      </c>
      <c r="M40" s="185"/>
      <c r="AX40" s="201"/>
    </row>
    <row r="41" spans="1:13">
      <c r="A41" s="186"/>
      <c r="B41" s="185">
        <v>8</v>
      </c>
      <c r="C41" s="185"/>
      <c r="D41" s="185"/>
      <c r="E41" s="185"/>
      <c r="F41" s="185"/>
      <c r="G41" s="148"/>
      <c r="H41" s="148"/>
      <c r="I41" s="149"/>
      <c r="J41" s="148"/>
      <c r="K41" s="149"/>
      <c r="L41" s="149">
        <f t="shared" si="5"/>
        <v>2409.14720000012</v>
      </c>
      <c r="M41" s="185"/>
    </row>
    <row r="42" spans="1:13">
      <c r="A42" s="186"/>
      <c r="B42" s="185">
        <v>9</v>
      </c>
      <c r="C42" s="185"/>
      <c r="D42" s="185"/>
      <c r="E42" s="185"/>
      <c r="F42" s="185"/>
      <c r="G42" s="148"/>
      <c r="H42" s="148"/>
      <c r="I42" s="150"/>
      <c r="J42" s="148"/>
      <c r="K42" s="149"/>
      <c r="L42" s="149">
        <f t="shared" si="5"/>
        <v>2409.14720000012</v>
      </c>
      <c r="M42" s="185"/>
    </row>
    <row r="43" spans="1:13">
      <c r="A43" s="186"/>
      <c r="B43" s="185">
        <v>10</v>
      </c>
      <c r="C43" s="185"/>
      <c r="D43" s="185"/>
      <c r="E43" s="185"/>
      <c r="F43" s="185"/>
      <c r="G43" s="148"/>
      <c r="H43" s="148"/>
      <c r="I43" s="149"/>
      <c r="J43" s="148"/>
      <c r="K43" s="149"/>
      <c r="L43" s="149">
        <f t="shared" si="5"/>
        <v>2409.14720000012</v>
      </c>
      <c r="M43" s="185"/>
    </row>
    <row r="44" spans="1:13">
      <c r="A44" s="186"/>
      <c r="B44" s="185">
        <v>11</v>
      </c>
      <c r="C44" s="185"/>
      <c r="D44" s="185"/>
      <c r="E44" s="185"/>
      <c r="F44" s="185"/>
      <c r="G44" s="148"/>
      <c r="H44" s="148"/>
      <c r="I44" s="149"/>
      <c r="J44" s="148"/>
      <c r="K44" s="149"/>
      <c r="L44" s="149">
        <f t="shared" si="5"/>
        <v>2409.14720000012</v>
      </c>
      <c r="M44" s="185"/>
    </row>
    <row r="45" spans="1:13">
      <c r="A45" s="186"/>
      <c r="B45" s="185">
        <v>12</v>
      </c>
      <c r="C45" s="185"/>
      <c r="D45" s="185"/>
      <c r="E45" s="185"/>
      <c r="F45" s="185"/>
      <c r="G45" s="148"/>
      <c r="H45" s="148"/>
      <c r="I45" s="149"/>
      <c r="J45" s="148"/>
      <c r="K45" s="149"/>
      <c r="L45" s="149">
        <f t="shared" si="5"/>
        <v>2409.14720000012</v>
      </c>
      <c r="M45" s="185"/>
    </row>
    <row r="46" spans="1:13">
      <c r="A46" s="186"/>
      <c r="B46" s="185">
        <v>13</v>
      </c>
      <c r="C46" s="185"/>
      <c r="D46" s="185"/>
      <c r="E46" s="185"/>
      <c r="F46" s="185"/>
      <c r="G46" s="148"/>
      <c r="H46" s="148"/>
      <c r="I46" s="149"/>
      <c r="J46" s="148"/>
      <c r="K46" s="149"/>
      <c r="L46" s="149">
        <f t="shared" si="5"/>
        <v>2409.14720000012</v>
      </c>
      <c r="M46" s="185"/>
    </row>
    <row r="47" spans="1:13">
      <c r="A47" s="186"/>
      <c r="B47" s="185">
        <v>14</v>
      </c>
      <c r="C47" s="185"/>
      <c r="D47" s="185"/>
      <c r="E47" s="185"/>
      <c r="F47" s="185"/>
      <c r="G47" s="148"/>
      <c r="H47" s="148"/>
      <c r="I47" s="149"/>
      <c r="J47" s="148"/>
      <c r="K47" s="149"/>
      <c r="L47" s="149">
        <f t="shared" si="5"/>
        <v>2409.14720000012</v>
      </c>
      <c r="M47" s="185"/>
    </row>
    <row r="48" spans="1:13">
      <c r="A48" s="181" t="s">
        <v>141</v>
      </c>
      <c r="B48" s="182"/>
      <c r="C48" s="182"/>
      <c r="D48" s="182"/>
      <c r="E48" s="182"/>
      <c r="F48" s="182"/>
      <c r="G48" s="183"/>
      <c r="H48" s="180"/>
      <c r="I48" s="165">
        <f>SUM(I34:I47)</f>
        <v>693042.31</v>
      </c>
      <c r="J48" s="148"/>
      <c r="K48" s="165">
        <f>SUM(K34:K47)</f>
        <v>2011535.98</v>
      </c>
      <c r="L48" s="165">
        <f>L33+I48-K48</f>
        <v>2409.14720000001</v>
      </c>
      <c r="M48" s="171"/>
    </row>
    <row r="49" spans="1:13">
      <c r="A49" s="181" t="s">
        <v>28</v>
      </c>
      <c r="B49" s="182"/>
      <c r="C49" s="182"/>
      <c r="D49" s="182"/>
      <c r="E49" s="182"/>
      <c r="F49" s="182"/>
      <c r="G49" s="183"/>
      <c r="H49" s="180"/>
      <c r="I49" s="165">
        <f>SUM(I16,I33,I48)</f>
        <v>3920995.4872</v>
      </c>
      <c r="J49" s="180"/>
      <c r="K49" s="165">
        <f>SUM(K16,K33,K48)</f>
        <v>3918586.34</v>
      </c>
      <c r="L49" s="165">
        <f>I49-K49</f>
        <v>2409.14720000001</v>
      </c>
      <c r="M49" s="171"/>
    </row>
  </sheetData>
  <mergeCells count="9">
    <mergeCell ref="A1:M1"/>
    <mergeCell ref="C15:D15"/>
    <mergeCell ref="A16:G16"/>
    <mergeCell ref="A33:G33"/>
    <mergeCell ref="A48:G48"/>
    <mergeCell ref="A49:G49"/>
    <mergeCell ref="A3:A15"/>
    <mergeCell ref="A17:A32"/>
    <mergeCell ref="A34:A47"/>
  </mergeCells>
  <pageMargins left="0.269444444444444" right="0.259722222222222" top="0.259722222222222" bottom="0.189583333333333" header="0.169444444444444" footer="0.169444444444444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1"/>
  <sheetViews>
    <sheetView topLeftCell="A34" workbookViewId="0">
      <selection activeCell="L61" sqref="L61"/>
    </sheetView>
  </sheetViews>
  <sheetFormatPr defaultColWidth="9" defaultRowHeight="14.25"/>
  <cols>
    <col min="1" max="1" width="5.375" style="144" customWidth="1"/>
    <col min="2" max="2" width="3.875" style="144" customWidth="1"/>
    <col min="3" max="3" width="9.625" style="144" customWidth="1"/>
    <col min="4" max="4" width="11.375" style="144" customWidth="1"/>
    <col min="5" max="5" width="13.5" style="144" hidden="1" customWidth="1"/>
    <col min="6" max="6" width="14" style="144" customWidth="1"/>
    <col min="7" max="7" width="10.375" style="144" customWidth="1"/>
    <col min="8" max="8" width="14.625" style="144" customWidth="1"/>
    <col min="9" max="9" width="16.125" style="145" customWidth="1"/>
    <col min="10" max="10" width="9" style="144"/>
    <col min="11" max="11" width="15.125" style="144" customWidth="1"/>
    <col min="12" max="12" width="14.125" style="144" customWidth="1"/>
    <col min="13" max="14" width="15.125" style="144" customWidth="1"/>
    <col min="15" max="16384" width="9" style="144"/>
  </cols>
  <sheetData>
    <row r="1" ht="27.75" customHeight="1" spans="1:10">
      <c r="A1" s="146" t="s">
        <v>144</v>
      </c>
      <c r="B1" s="146"/>
      <c r="C1" s="146"/>
      <c r="D1" s="146"/>
      <c r="E1" s="146"/>
      <c r="F1" s="146"/>
      <c r="G1" s="146"/>
      <c r="H1" s="146"/>
      <c r="I1" s="146"/>
      <c r="J1" s="146"/>
    </row>
    <row r="2" s="143" customFormat="1" ht="20.25" customHeight="1" spans="1:10">
      <c r="A2" s="147" t="s">
        <v>30</v>
      </c>
      <c r="B2" s="147" t="s">
        <v>31</v>
      </c>
      <c r="C2" s="147" t="s">
        <v>32</v>
      </c>
      <c r="D2" s="147" t="s">
        <v>33</v>
      </c>
      <c r="E2" s="147"/>
      <c r="F2" s="147" t="s">
        <v>34</v>
      </c>
      <c r="G2" s="147" t="s">
        <v>35</v>
      </c>
      <c r="H2" s="147" t="s">
        <v>36</v>
      </c>
      <c r="I2" s="149" t="s">
        <v>84</v>
      </c>
      <c r="J2" s="147" t="s">
        <v>10</v>
      </c>
    </row>
    <row r="3" s="143" customFormat="1" ht="15" customHeight="1" spans="1:10">
      <c r="A3" s="147">
        <v>10</v>
      </c>
      <c r="B3" s="147">
        <v>1</v>
      </c>
      <c r="C3" s="148"/>
      <c r="D3" s="148"/>
      <c r="E3" s="148"/>
      <c r="F3" s="149">
        <v>820170</v>
      </c>
      <c r="G3" s="148"/>
      <c r="H3" s="149">
        <v>246051.2</v>
      </c>
      <c r="I3" s="149">
        <f>F3-H3</f>
        <v>574118.8</v>
      </c>
      <c r="J3" s="147" t="s">
        <v>145</v>
      </c>
    </row>
    <row r="4" s="143" customFormat="1" ht="15" customHeight="1" spans="1:10">
      <c r="A4" s="147"/>
      <c r="B4" s="147">
        <v>2</v>
      </c>
      <c r="C4" s="148"/>
      <c r="D4" s="148"/>
      <c r="E4" s="148"/>
      <c r="F4" s="149"/>
      <c r="G4" s="148"/>
      <c r="H4" s="149">
        <v>367567</v>
      </c>
      <c r="I4" s="149">
        <f t="shared" ref="I4:I7" si="0">I3+F4-H4</f>
        <v>206551.8</v>
      </c>
      <c r="J4" s="147"/>
    </row>
    <row r="5" s="143" customFormat="1" ht="15" customHeight="1" spans="1:10">
      <c r="A5" s="147"/>
      <c r="B5" s="147">
        <v>3</v>
      </c>
      <c r="C5" s="148"/>
      <c r="D5" s="148"/>
      <c r="E5" s="148"/>
      <c r="F5" s="149"/>
      <c r="G5" s="147"/>
      <c r="H5" s="149"/>
      <c r="I5" s="149">
        <f t="shared" si="0"/>
        <v>206551.8</v>
      </c>
      <c r="J5" s="147"/>
    </row>
    <row r="6" s="143" customFormat="1" ht="15" customHeight="1" spans="1:10">
      <c r="A6" s="147"/>
      <c r="B6" s="147">
        <v>4</v>
      </c>
      <c r="C6" s="148"/>
      <c r="D6" s="148"/>
      <c r="E6" s="147"/>
      <c r="F6" s="149"/>
      <c r="G6" s="147"/>
      <c r="H6" s="149"/>
      <c r="I6" s="149">
        <f t="shared" si="0"/>
        <v>206551.8</v>
      </c>
      <c r="J6" s="147"/>
    </row>
    <row r="7" s="143" customFormat="1" ht="15" customHeight="1" spans="1:10">
      <c r="A7" s="147"/>
      <c r="B7" s="147">
        <v>5</v>
      </c>
      <c r="C7" s="148"/>
      <c r="D7" s="148"/>
      <c r="E7" s="151"/>
      <c r="F7" s="149"/>
      <c r="G7" s="147"/>
      <c r="H7" s="149"/>
      <c r="I7" s="149">
        <f t="shared" si="0"/>
        <v>206551.8</v>
      </c>
      <c r="J7" s="147"/>
    </row>
    <row r="8" s="143" customFormat="1" ht="25.5" customHeight="1" spans="1:10">
      <c r="A8" s="153" t="s">
        <v>85</v>
      </c>
      <c r="B8" s="154"/>
      <c r="C8" s="155"/>
      <c r="D8" s="147"/>
      <c r="E8" s="147"/>
      <c r="F8" s="149">
        <f>SUM(F3:F7)</f>
        <v>820170</v>
      </c>
      <c r="G8" s="147"/>
      <c r="H8" s="149">
        <f>SUM(H3:H7)</f>
        <v>613618.2</v>
      </c>
      <c r="I8" s="149">
        <f>F8-H8</f>
        <v>206551.8</v>
      </c>
      <c r="J8" s="147"/>
    </row>
    <row r="9" s="143" customFormat="1" ht="15" customHeight="1" spans="1:10">
      <c r="A9" s="156" t="s">
        <v>44</v>
      </c>
      <c r="B9" s="151">
        <v>1</v>
      </c>
      <c r="C9" s="148">
        <v>40574</v>
      </c>
      <c r="D9" s="148"/>
      <c r="E9" s="151"/>
      <c r="F9" s="157">
        <v>275893.02</v>
      </c>
      <c r="G9" s="148"/>
      <c r="H9" s="149">
        <v>228236.58</v>
      </c>
      <c r="I9" s="149">
        <f>I8+F9-H9</f>
        <v>254208.24</v>
      </c>
      <c r="J9" s="147"/>
    </row>
    <row r="10" s="143" customFormat="1" ht="15" customHeight="1" spans="1:10">
      <c r="A10" s="158"/>
      <c r="B10" s="151">
        <v>2</v>
      </c>
      <c r="C10" s="148">
        <v>40663</v>
      </c>
      <c r="D10" s="148">
        <v>40729</v>
      </c>
      <c r="E10" s="151"/>
      <c r="F10" s="157">
        <v>801522.91</v>
      </c>
      <c r="G10" s="148">
        <v>40763</v>
      </c>
      <c r="H10" s="149">
        <v>801522.91</v>
      </c>
      <c r="I10" s="149">
        <f t="shared" ref="I10:I21" si="1">I9+F10-H10</f>
        <v>254208.24</v>
      </c>
      <c r="J10" s="147"/>
    </row>
    <row r="11" s="143" customFormat="1" ht="15" customHeight="1" spans="1:10">
      <c r="A11" s="158"/>
      <c r="B11" s="151">
        <v>3</v>
      </c>
      <c r="C11" s="148">
        <v>40724</v>
      </c>
      <c r="D11" s="148">
        <v>40737</v>
      </c>
      <c r="E11" s="151"/>
      <c r="F11" s="157">
        <v>530394.99</v>
      </c>
      <c r="G11" s="148">
        <v>40813</v>
      </c>
      <c r="H11" s="157">
        <v>530394.99</v>
      </c>
      <c r="I11" s="149">
        <f t="shared" si="1"/>
        <v>254208.24</v>
      </c>
      <c r="J11" s="147"/>
    </row>
    <row r="12" s="143" customFormat="1" ht="15" customHeight="1" spans="1:10">
      <c r="A12" s="158"/>
      <c r="B12" s="151">
        <v>4</v>
      </c>
      <c r="C12" s="148">
        <v>40755</v>
      </c>
      <c r="D12" s="148">
        <v>40755</v>
      </c>
      <c r="E12" s="151"/>
      <c r="F12" s="157">
        <v>355443.38</v>
      </c>
      <c r="G12" s="148">
        <v>40843</v>
      </c>
      <c r="H12" s="157">
        <v>355443.38</v>
      </c>
      <c r="I12" s="149">
        <f t="shared" si="1"/>
        <v>254208.24</v>
      </c>
      <c r="J12" s="147"/>
    </row>
    <row r="13" s="143" customFormat="1" ht="15" customHeight="1" spans="1:10">
      <c r="A13" s="158"/>
      <c r="B13" s="151">
        <v>5</v>
      </c>
      <c r="C13" s="148"/>
      <c r="D13" s="148"/>
      <c r="E13" s="151"/>
      <c r="F13" s="159">
        <v>-47656.44</v>
      </c>
      <c r="G13" s="148"/>
      <c r="H13" s="149"/>
      <c r="I13" s="149">
        <f t="shared" si="1"/>
        <v>206551.8</v>
      </c>
      <c r="J13" s="147"/>
    </row>
    <row r="14" s="143" customFormat="1" ht="15" customHeight="1" spans="1:10">
      <c r="A14" s="158"/>
      <c r="B14" s="151">
        <v>6</v>
      </c>
      <c r="C14" s="148">
        <v>40786</v>
      </c>
      <c r="D14" s="148">
        <v>40805</v>
      </c>
      <c r="E14" s="151"/>
      <c r="F14" s="157">
        <v>124464.81</v>
      </c>
      <c r="G14" s="148">
        <v>40877</v>
      </c>
      <c r="H14" s="149">
        <v>124464.81</v>
      </c>
      <c r="I14" s="149">
        <f t="shared" si="1"/>
        <v>206551.8</v>
      </c>
      <c r="J14" s="147"/>
    </row>
    <row r="15" s="143" customFormat="1" ht="15" customHeight="1" spans="1:10">
      <c r="A15" s="158"/>
      <c r="B15" s="151">
        <v>7</v>
      </c>
      <c r="C15" s="148">
        <v>40815</v>
      </c>
      <c r="D15" s="148">
        <v>40815</v>
      </c>
      <c r="E15" s="151"/>
      <c r="F15" s="157">
        <v>303323.95</v>
      </c>
      <c r="G15" s="148">
        <v>40886</v>
      </c>
      <c r="H15" s="149">
        <v>303323.95</v>
      </c>
      <c r="I15" s="149">
        <f t="shared" si="1"/>
        <v>206551.8</v>
      </c>
      <c r="J15" s="147"/>
    </row>
    <row r="16" s="143" customFormat="1" ht="15" customHeight="1" spans="1:10">
      <c r="A16" s="158"/>
      <c r="B16" s="151">
        <v>8</v>
      </c>
      <c r="C16" s="148">
        <v>40846</v>
      </c>
      <c r="D16" s="148">
        <v>40856</v>
      </c>
      <c r="E16" s="151"/>
      <c r="F16" s="157">
        <v>470309.69</v>
      </c>
      <c r="G16" s="148"/>
      <c r="H16" s="149"/>
      <c r="I16" s="149">
        <f t="shared" si="1"/>
        <v>676861.49</v>
      </c>
      <c r="J16" s="147"/>
    </row>
    <row r="17" s="143" customFormat="1" ht="15" customHeight="1" spans="1:10">
      <c r="A17" s="158"/>
      <c r="B17" s="151">
        <v>9</v>
      </c>
      <c r="C17" s="148">
        <v>40883</v>
      </c>
      <c r="D17" s="148">
        <v>40887</v>
      </c>
      <c r="E17" s="151"/>
      <c r="F17" s="160">
        <v>20000</v>
      </c>
      <c r="G17" s="148"/>
      <c r="H17" s="149"/>
      <c r="I17" s="149">
        <f t="shared" si="1"/>
        <v>696861.49</v>
      </c>
      <c r="J17" s="147" t="s">
        <v>90</v>
      </c>
    </row>
    <row r="18" s="143" customFormat="1" ht="15" customHeight="1" spans="1:10">
      <c r="A18" s="158"/>
      <c r="B18" s="151">
        <v>10</v>
      </c>
      <c r="C18" s="148">
        <v>40877</v>
      </c>
      <c r="D18" s="148">
        <v>40887</v>
      </c>
      <c r="E18" s="151"/>
      <c r="F18" s="157">
        <v>727944.51</v>
      </c>
      <c r="G18" s="148"/>
      <c r="H18" s="149"/>
      <c r="I18" s="149">
        <f t="shared" si="1"/>
        <v>1424806</v>
      </c>
      <c r="J18" s="147"/>
    </row>
    <row r="19" s="143" customFormat="1" ht="15" customHeight="1" spans="1:10">
      <c r="A19" s="158"/>
      <c r="B19" s="151">
        <v>23</v>
      </c>
      <c r="C19" s="148">
        <v>40906</v>
      </c>
      <c r="D19" s="148">
        <v>40906</v>
      </c>
      <c r="E19" s="151"/>
      <c r="F19" s="161">
        <v>604150.64</v>
      </c>
      <c r="G19" s="148"/>
      <c r="H19" s="149"/>
      <c r="I19" s="149">
        <f t="shared" si="1"/>
        <v>2028956.64</v>
      </c>
      <c r="J19" s="147"/>
    </row>
    <row r="20" s="143" customFormat="1" ht="15" customHeight="1" spans="1:10">
      <c r="A20" s="158"/>
      <c r="B20" s="151">
        <v>24</v>
      </c>
      <c r="C20" s="147"/>
      <c r="D20" s="148"/>
      <c r="E20" s="147"/>
      <c r="F20" s="162"/>
      <c r="G20" s="148"/>
      <c r="H20" s="149"/>
      <c r="I20" s="149">
        <f t="shared" si="1"/>
        <v>2028956.64</v>
      </c>
      <c r="J20" s="147"/>
    </row>
    <row r="21" s="143" customFormat="1" ht="15" customHeight="1" spans="1:10">
      <c r="A21" s="163"/>
      <c r="B21" s="147"/>
      <c r="C21" s="147"/>
      <c r="D21" s="148"/>
      <c r="E21" s="147"/>
      <c r="F21" s="157"/>
      <c r="G21" s="148"/>
      <c r="H21" s="149"/>
      <c r="I21" s="149">
        <f t="shared" si="1"/>
        <v>2028956.64</v>
      </c>
      <c r="J21" s="147"/>
    </row>
    <row r="22" s="143" customFormat="1" ht="27" customHeight="1" spans="1:10">
      <c r="A22" s="153" t="s">
        <v>54</v>
      </c>
      <c r="B22" s="154"/>
      <c r="C22" s="155"/>
      <c r="D22" s="147"/>
      <c r="E22" s="147"/>
      <c r="F22" s="149">
        <f>SUM(F9:F21)</f>
        <v>4165791.46</v>
      </c>
      <c r="G22" s="147"/>
      <c r="H22" s="149">
        <f>SUM(H9:H21)</f>
        <v>2343386.62</v>
      </c>
      <c r="I22" s="149">
        <f>F22-H22+I8</f>
        <v>2028956.64</v>
      </c>
      <c r="J22" s="147"/>
    </row>
    <row r="23" s="143" customFormat="1" ht="15" customHeight="1" spans="1:12">
      <c r="A23" s="156" t="s">
        <v>46</v>
      </c>
      <c r="B23" s="151">
        <v>1</v>
      </c>
      <c r="C23" s="148">
        <v>40939</v>
      </c>
      <c r="D23" s="148">
        <v>40939</v>
      </c>
      <c r="E23" s="151"/>
      <c r="F23" s="160">
        <v>755260.75</v>
      </c>
      <c r="G23" s="148">
        <v>40939</v>
      </c>
      <c r="H23" s="149">
        <v>470309.69</v>
      </c>
      <c r="I23" s="149">
        <f>I22+F23-H23</f>
        <v>2313907.7</v>
      </c>
      <c r="J23" s="147"/>
      <c r="L23" s="152"/>
    </row>
    <row r="24" s="143" customFormat="1" ht="15" customHeight="1" spans="1:12">
      <c r="A24" s="158"/>
      <c r="B24" s="151">
        <v>2</v>
      </c>
      <c r="C24" s="148">
        <v>40955</v>
      </c>
      <c r="D24" s="148">
        <v>40955</v>
      </c>
      <c r="E24" s="151"/>
      <c r="F24" s="164"/>
      <c r="G24" s="148">
        <v>40984</v>
      </c>
      <c r="H24" s="149">
        <v>727944.51</v>
      </c>
      <c r="I24" s="149">
        <f>I23+F24-H24</f>
        <v>1585963.19</v>
      </c>
      <c r="J24" s="147" t="s">
        <v>90</v>
      </c>
      <c r="L24" s="152"/>
    </row>
    <row r="25" s="143" customFormat="1" ht="15" customHeight="1" spans="1:12">
      <c r="A25" s="158"/>
      <c r="B25" s="151">
        <v>3</v>
      </c>
      <c r="C25" s="148">
        <v>40968</v>
      </c>
      <c r="D25" s="148">
        <v>40968</v>
      </c>
      <c r="E25" s="151"/>
      <c r="F25" s="160">
        <v>1021213.5</v>
      </c>
      <c r="G25" s="148"/>
      <c r="H25" s="157"/>
      <c r="I25" s="149">
        <f t="shared" ref="I25:I35" si="2">I24+F25-H25</f>
        <v>2607176.69</v>
      </c>
      <c r="J25" s="147"/>
      <c r="L25" s="152"/>
    </row>
    <row r="26" s="143" customFormat="1" ht="15" customHeight="1" spans="1:12">
      <c r="A26" s="158"/>
      <c r="B26" s="151">
        <v>4</v>
      </c>
      <c r="C26" s="148">
        <v>40998</v>
      </c>
      <c r="D26" s="148">
        <v>40998</v>
      </c>
      <c r="E26" s="151"/>
      <c r="F26" s="160">
        <v>729607.8816</v>
      </c>
      <c r="G26" s="148"/>
      <c r="H26" s="157"/>
      <c r="I26" s="149">
        <f t="shared" si="2"/>
        <v>3336784.5716</v>
      </c>
      <c r="J26" s="147"/>
      <c r="L26" s="152"/>
    </row>
    <row r="27" s="143" customFormat="1" ht="15" customHeight="1" spans="1:12">
      <c r="A27" s="158"/>
      <c r="B27" s="151">
        <v>5</v>
      </c>
      <c r="C27" s="148">
        <v>41026</v>
      </c>
      <c r="D27" s="148">
        <v>41026</v>
      </c>
      <c r="E27" s="151"/>
      <c r="F27" s="157">
        <v>404995.26</v>
      </c>
      <c r="G27" s="148">
        <v>41015</v>
      </c>
      <c r="H27" s="149">
        <v>624150.64</v>
      </c>
      <c r="I27" s="149">
        <f t="shared" si="2"/>
        <v>3117629.1916</v>
      </c>
      <c r="J27" s="147"/>
      <c r="L27" s="152"/>
    </row>
    <row r="28" s="143" customFormat="1" ht="15" customHeight="1" spans="1:12">
      <c r="A28" s="158"/>
      <c r="B28" s="151">
        <v>6</v>
      </c>
      <c r="C28" s="148">
        <v>41060</v>
      </c>
      <c r="D28" s="148">
        <v>41060</v>
      </c>
      <c r="E28" s="151"/>
      <c r="F28" s="164"/>
      <c r="G28" s="148">
        <v>41031</v>
      </c>
      <c r="H28" s="149">
        <v>755260.75</v>
      </c>
      <c r="I28" s="149">
        <f t="shared" si="2"/>
        <v>2362368.4416</v>
      </c>
      <c r="J28" s="147"/>
      <c r="L28" s="152"/>
    </row>
    <row r="29" s="143" customFormat="1" ht="15" customHeight="1" spans="1:12">
      <c r="A29" s="158"/>
      <c r="B29" s="151">
        <v>7</v>
      </c>
      <c r="C29" s="148">
        <v>41088</v>
      </c>
      <c r="D29" s="148">
        <v>41088</v>
      </c>
      <c r="E29" s="151"/>
      <c r="F29" s="157">
        <v>482215.04</v>
      </c>
      <c r="G29" s="148">
        <v>41037</v>
      </c>
      <c r="H29" s="149">
        <v>206551.8</v>
      </c>
      <c r="I29" s="149">
        <f t="shared" si="2"/>
        <v>2638031.6816</v>
      </c>
      <c r="J29" s="147"/>
      <c r="L29" s="152"/>
    </row>
    <row r="30" s="143" customFormat="1" ht="15" customHeight="1" spans="1:12">
      <c r="A30" s="158"/>
      <c r="B30" s="151">
        <v>8</v>
      </c>
      <c r="C30" s="148">
        <v>41088</v>
      </c>
      <c r="D30" s="148">
        <v>41088</v>
      </c>
      <c r="E30" s="151"/>
      <c r="F30" s="157">
        <v>566062</v>
      </c>
      <c r="G30" s="148">
        <v>41047</v>
      </c>
      <c r="H30" s="149">
        <v>1021213.5</v>
      </c>
      <c r="I30" s="149">
        <f t="shared" si="2"/>
        <v>2182880.1816</v>
      </c>
      <c r="J30" s="147" t="s">
        <v>90</v>
      </c>
      <c r="L30" s="152"/>
    </row>
    <row r="31" s="143" customFormat="1" ht="15" customHeight="1" spans="1:12">
      <c r="A31" s="158"/>
      <c r="B31" s="151">
        <v>9</v>
      </c>
      <c r="C31" s="148">
        <v>41121</v>
      </c>
      <c r="D31" s="148">
        <v>41121</v>
      </c>
      <c r="E31" s="151"/>
      <c r="F31" s="157">
        <v>153809.92</v>
      </c>
      <c r="G31" s="148">
        <v>41102</v>
      </c>
      <c r="H31" s="165">
        <v>729607.89</v>
      </c>
      <c r="I31" s="149">
        <f t="shared" si="2"/>
        <v>1607082.2116</v>
      </c>
      <c r="J31" s="147"/>
      <c r="L31" s="152"/>
    </row>
    <row r="32" s="143" customFormat="1" ht="15" customHeight="1" spans="1:12">
      <c r="A32" s="158"/>
      <c r="B32" s="151">
        <v>10</v>
      </c>
      <c r="C32" s="148">
        <v>41177</v>
      </c>
      <c r="D32" s="148">
        <v>41177</v>
      </c>
      <c r="E32" s="151"/>
      <c r="F32" s="157">
        <v>257507.7</v>
      </c>
      <c r="G32" s="148">
        <v>41176</v>
      </c>
      <c r="H32" s="149">
        <v>404995.26</v>
      </c>
      <c r="I32" s="149">
        <f t="shared" si="2"/>
        <v>1459594.6516</v>
      </c>
      <c r="J32" s="147"/>
      <c r="L32" s="152"/>
    </row>
    <row r="33" s="143" customFormat="1" ht="15" customHeight="1" spans="1:12">
      <c r="A33" s="158"/>
      <c r="B33" s="151">
        <v>23</v>
      </c>
      <c r="C33" s="148">
        <v>41242</v>
      </c>
      <c r="D33" s="148">
        <v>41242</v>
      </c>
      <c r="E33" s="151"/>
      <c r="F33" s="157">
        <v>185572.3896</v>
      </c>
      <c r="G33" s="148">
        <v>41228</v>
      </c>
      <c r="H33" s="149">
        <v>636024.97</v>
      </c>
      <c r="I33" s="149">
        <f t="shared" si="2"/>
        <v>1009142.0712</v>
      </c>
      <c r="J33" s="147"/>
      <c r="L33" s="152"/>
    </row>
    <row r="34" s="143" customFormat="1" ht="15" customHeight="1" spans="1:12">
      <c r="A34" s="158"/>
      <c r="B34" s="151">
        <v>24</v>
      </c>
      <c r="C34" s="148">
        <v>41267</v>
      </c>
      <c r="D34" s="148">
        <v>41267</v>
      </c>
      <c r="E34" s="147"/>
      <c r="F34" s="157">
        <v>349079.9481</v>
      </c>
      <c r="G34" s="148">
        <v>41213</v>
      </c>
      <c r="H34" s="149">
        <v>566062.02</v>
      </c>
      <c r="I34" s="149">
        <f t="shared" si="2"/>
        <v>792159.9993</v>
      </c>
      <c r="J34" s="147"/>
      <c r="L34" s="152"/>
    </row>
    <row r="35" s="143" customFormat="1" ht="15" customHeight="1" spans="1:12">
      <c r="A35" s="163"/>
      <c r="B35" s="147"/>
      <c r="C35" s="147"/>
      <c r="D35" s="148"/>
      <c r="E35" s="147"/>
      <c r="F35" s="157"/>
      <c r="G35" s="148"/>
      <c r="H35" s="149"/>
      <c r="I35" s="149">
        <f t="shared" si="2"/>
        <v>792159.9993</v>
      </c>
      <c r="J35" s="147"/>
      <c r="L35" s="152"/>
    </row>
    <row r="36" s="143" customFormat="1" ht="27" customHeight="1" spans="1:13">
      <c r="A36" s="153" t="s">
        <v>54</v>
      </c>
      <c r="B36" s="154"/>
      <c r="C36" s="155"/>
      <c r="D36" s="147"/>
      <c r="E36" s="147"/>
      <c r="F36" s="149">
        <f>SUM(F23:F35)</f>
        <v>4905324.3893</v>
      </c>
      <c r="G36" s="147"/>
      <c r="H36" s="149">
        <f>SUM(H23:H35)</f>
        <v>6142121.03</v>
      </c>
      <c r="I36" s="149">
        <f>F36-H36+I22</f>
        <v>792159.999300001</v>
      </c>
      <c r="J36" s="147"/>
      <c r="L36" s="152"/>
      <c r="M36" s="166"/>
    </row>
    <row r="37" s="143" customFormat="1" ht="13.5" customHeight="1" spans="1:12">
      <c r="A37" s="156" t="s">
        <v>52</v>
      </c>
      <c r="B37" s="151">
        <v>1</v>
      </c>
      <c r="C37" s="148">
        <v>41300</v>
      </c>
      <c r="D37" s="148">
        <v>41300</v>
      </c>
      <c r="E37" s="151"/>
      <c r="F37" s="160">
        <v>369428.8338</v>
      </c>
      <c r="G37" s="148">
        <v>41282</v>
      </c>
      <c r="H37" s="149">
        <v>257507.69</v>
      </c>
      <c r="I37" s="149">
        <f>I36+F37-H37</f>
        <v>904081.143100001</v>
      </c>
      <c r="J37" s="147"/>
      <c r="L37" s="152"/>
    </row>
    <row r="38" spans="1:10">
      <c r="A38" s="158"/>
      <c r="B38" s="151">
        <v>2</v>
      </c>
      <c r="C38" s="148">
        <v>41328</v>
      </c>
      <c r="D38" s="148">
        <v>41328</v>
      </c>
      <c r="E38" s="151"/>
      <c r="F38" s="160">
        <v>299789.3457</v>
      </c>
      <c r="G38" s="148">
        <v>41341</v>
      </c>
      <c r="H38" s="149">
        <v>534652.34</v>
      </c>
      <c r="I38" s="149">
        <f>I37+F38-H38</f>
        <v>669218.148800001</v>
      </c>
      <c r="J38" s="147"/>
    </row>
    <row r="39" spans="1:10">
      <c r="A39" s="158"/>
      <c r="B39" s="151">
        <v>3</v>
      </c>
      <c r="C39" s="148">
        <v>41364</v>
      </c>
      <c r="D39" s="148">
        <v>41382</v>
      </c>
      <c r="E39" s="151"/>
      <c r="F39" s="160">
        <v>807974.8</v>
      </c>
      <c r="G39" s="148">
        <v>41380</v>
      </c>
      <c r="H39" s="149">
        <v>369428.83</v>
      </c>
      <c r="I39" s="149">
        <f t="shared" ref="I39:I49" si="3">I38+F39-H39</f>
        <v>1107764.1188</v>
      </c>
      <c r="J39" s="147"/>
    </row>
    <row r="40" spans="1:10">
      <c r="A40" s="158"/>
      <c r="B40" s="151">
        <v>4</v>
      </c>
      <c r="C40" s="148">
        <v>41391</v>
      </c>
      <c r="D40" s="148">
        <v>41391</v>
      </c>
      <c r="E40" s="151"/>
      <c r="F40" s="160">
        <v>125550.91</v>
      </c>
      <c r="G40" s="148">
        <v>41404</v>
      </c>
      <c r="H40" s="149">
        <v>299789.35</v>
      </c>
      <c r="I40" s="149">
        <f t="shared" si="3"/>
        <v>933525.678800001</v>
      </c>
      <c r="J40" s="147"/>
    </row>
    <row r="41" spans="1:10">
      <c r="A41" s="158"/>
      <c r="B41" s="151">
        <v>5</v>
      </c>
      <c r="C41" s="148">
        <v>41422</v>
      </c>
      <c r="D41" s="148">
        <v>41422</v>
      </c>
      <c r="E41" s="151"/>
      <c r="F41" s="157">
        <v>276511.47</v>
      </c>
      <c r="G41" s="148">
        <v>41486</v>
      </c>
      <c r="H41" s="149">
        <v>400000</v>
      </c>
      <c r="I41" s="149">
        <f t="shared" si="3"/>
        <v>810037.148800001</v>
      </c>
      <c r="J41" s="147"/>
    </row>
    <row r="42" spans="1:10">
      <c r="A42" s="158"/>
      <c r="B42" s="151">
        <v>6</v>
      </c>
      <c r="C42" s="148">
        <v>41449</v>
      </c>
      <c r="D42" s="148">
        <v>41449</v>
      </c>
      <c r="E42" s="151"/>
      <c r="F42" s="157">
        <v>132039.2034</v>
      </c>
      <c r="G42" s="148"/>
      <c r="H42" s="149"/>
      <c r="I42" s="149">
        <f t="shared" si="3"/>
        <v>942076.352200001</v>
      </c>
      <c r="J42" s="147"/>
    </row>
    <row r="43" spans="1:10">
      <c r="A43" s="158"/>
      <c r="B43" s="151">
        <v>7</v>
      </c>
      <c r="C43" s="148">
        <v>41486</v>
      </c>
      <c r="D43" s="148">
        <v>41486</v>
      </c>
      <c r="E43" s="151"/>
      <c r="F43" s="157">
        <v>27115.4052</v>
      </c>
      <c r="G43" s="148"/>
      <c r="H43" s="149"/>
      <c r="I43" s="149">
        <f t="shared" si="3"/>
        <v>969191.757400001</v>
      </c>
      <c r="J43" s="147"/>
    </row>
    <row r="44" spans="1:10">
      <c r="A44" s="158"/>
      <c r="B44" s="151">
        <v>8</v>
      </c>
      <c r="C44" s="148">
        <v>41572</v>
      </c>
      <c r="D44" s="148">
        <v>41572</v>
      </c>
      <c r="E44" s="151"/>
      <c r="F44" s="157">
        <v>98818.06</v>
      </c>
      <c r="G44" s="148"/>
      <c r="H44" s="149"/>
      <c r="I44" s="149">
        <f t="shared" si="3"/>
        <v>1068009.8174</v>
      </c>
      <c r="J44" s="147"/>
    </row>
    <row r="45" spans="1:10">
      <c r="A45" s="158"/>
      <c r="B45" s="151">
        <v>9</v>
      </c>
      <c r="C45" s="148">
        <v>41608</v>
      </c>
      <c r="D45" s="148">
        <v>41608</v>
      </c>
      <c r="E45" s="151"/>
      <c r="F45" s="157">
        <v>233084.27</v>
      </c>
      <c r="G45" s="148"/>
      <c r="H45" s="165"/>
      <c r="I45" s="149">
        <f t="shared" si="3"/>
        <v>1301094.0874</v>
      </c>
      <c r="J45" s="147"/>
    </row>
    <row r="46" spans="1:10">
      <c r="A46" s="158"/>
      <c r="B46" s="151">
        <v>10</v>
      </c>
      <c r="C46" s="148">
        <v>41638</v>
      </c>
      <c r="D46" s="148">
        <v>41638</v>
      </c>
      <c r="E46" s="151"/>
      <c r="F46" s="157">
        <v>198685.773</v>
      </c>
      <c r="G46" s="148"/>
      <c r="H46" s="149"/>
      <c r="I46" s="149">
        <f t="shared" si="3"/>
        <v>1499779.8604</v>
      </c>
      <c r="J46" s="147"/>
    </row>
    <row r="47" spans="1:10">
      <c r="A47" s="158"/>
      <c r="B47" s="151">
        <v>23</v>
      </c>
      <c r="C47" s="148"/>
      <c r="D47" s="148"/>
      <c r="E47" s="151"/>
      <c r="F47" s="157"/>
      <c r="G47" s="148"/>
      <c r="H47" s="149"/>
      <c r="I47" s="149">
        <f t="shared" si="3"/>
        <v>1499779.8604</v>
      </c>
      <c r="J47" s="147"/>
    </row>
    <row r="48" spans="1:10">
      <c r="A48" s="158"/>
      <c r="B48" s="151">
        <v>24</v>
      </c>
      <c r="C48" s="148"/>
      <c r="D48" s="148"/>
      <c r="E48" s="147"/>
      <c r="F48" s="157"/>
      <c r="G48" s="148"/>
      <c r="H48" s="149"/>
      <c r="I48" s="149">
        <f t="shared" si="3"/>
        <v>1499779.8604</v>
      </c>
      <c r="J48" s="147"/>
    </row>
    <row r="49" spans="1:10">
      <c r="A49" s="163"/>
      <c r="B49" s="147"/>
      <c r="C49" s="147"/>
      <c r="D49" s="148"/>
      <c r="E49" s="147"/>
      <c r="F49" s="157"/>
      <c r="G49" s="148"/>
      <c r="H49" s="149"/>
      <c r="I49" s="149">
        <f t="shared" si="3"/>
        <v>1499779.8604</v>
      </c>
      <c r="J49" s="147"/>
    </row>
    <row r="50" spans="1:10">
      <c r="A50" s="153" t="s">
        <v>54</v>
      </c>
      <c r="B50" s="154"/>
      <c r="C50" s="155"/>
      <c r="D50" s="147"/>
      <c r="E50" s="147"/>
      <c r="F50" s="149">
        <f>SUM(F37:F49)</f>
        <v>2568998.0711</v>
      </c>
      <c r="G50" s="147"/>
      <c r="H50" s="149">
        <f>SUM(H37:H49)</f>
        <v>1861378.21</v>
      </c>
      <c r="I50" s="149">
        <f>F50-H50+I36</f>
        <v>1499779.8604</v>
      </c>
      <c r="J50" s="147"/>
    </row>
    <row r="51" spans="1:10">
      <c r="A51" s="156" t="s">
        <v>55</v>
      </c>
      <c r="B51" s="151">
        <v>1</v>
      </c>
      <c r="C51" s="148">
        <v>41664</v>
      </c>
      <c r="D51" s="148">
        <v>41664</v>
      </c>
      <c r="E51" s="151"/>
      <c r="F51" s="160">
        <v>97005.2616</v>
      </c>
      <c r="G51" s="148">
        <v>41717</v>
      </c>
      <c r="H51" s="149">
        <v>500000</v>
      </c>
      <c r="I51" s="149">
        <f>I50+F51-H51</f>
        <v>1096785.122</v>
      </c>
      <c r="J51" s="147"/>
    </row>
    <row r="52" spans="1:10">
      <c r="A52" s="158"/>
      <c r="B52" s="151">
        <v>2</v>
      </c>
      <c r="C52" s="148"/>
      <c r="D52" s="148"/>
      <c r="E52" s="151"/>
      <c r="F52" s="160"/>
      <c r="G52" s="148">
        <v>41725</v>
      </c>
      <c r="H52" s="149">
        <v>100000</v>
      </c>
      <c r="I52" s="149">
        <f>I51+F52-H52</f>
        <v>996785.122000001</v>
      </c>
      <c r="J52" s="147"/>
    </row>
    <row r="53" spans="1:10">
      <c r="A53" s="158"/>
      <c r="B53" s="151">
        <v>3</v>
      </c>
      <c r="C53" s="148"/>
      <c r="D53" s="148"/>
      <c r="E53" s="151"/>
      <c r="F53" s="160"/>
      <c r="G53" s="148">
        <v>41754</v>
      </c>
      <c r="H53" s="149">
        <v>100000</v>
      </c>
      <c r="I53" s="149">
        <f t="shared" ref="I53:I63" si="4">I52+F53-H53</f>
        <v>896785.122000001</v>
      </c>
      <c r="J53" s="147"/>
    </row>
    <row r="54" spans="1:10">
      <c r="A54" s="158"/>
      <c r="B54" s="151">
        <v>4</v>
      </c>
      <c r="C54" s="148"/>
      <c r="D54" s="148"/>
      <c r="E54" s="151"/>
      <c r="F54" s="160"/>
      <c r="G54" s="148">
        <v>41757</v>
      </c>
      <c r="H54" s="149">
        <v>100000</v>
      </c>
      <c r="I54" s="149">
        <f t="shared" si="4"/>
        <v>796785.122000001</v>
      </c>
      <c r="J54" s="147"/>
    </row>
    <row r="55" spans="1:10">
      <c r="A55" s="158"/>
      <c r="B55" s="151">
        <v>5</v>
      </c>
      <c r="C55" s="148"/>
      <c r="D55" s="148"/>
      <c r="E55" s="151"/>
      <c r="F55" s="157"/>
      <c r="G55" s="148">
        <v>41759</v>
      </c>
      <c r="H55" s="149">
        <v>150000</v>
      </c>
      <c r="I55" s="149">
        <f t="shared" si="4"/>
        <v>646785.122000001</v>
      </c>
      <c r="J55" s="147"/>
    </row>
    <row r="56" spans="1:10">
      <c r="A56" s="158"/>
      <c r="B56" s="151">
        <v>6</v>
      </c>
      <c r="C56" s="148"/>
      <c r="D56" s="148"/>
      <c r="E56" s="151"/>
      <c r="F56" s="157"/>
      <c r="G56" s="148">
        <v>41790</v>
      </c>
      <c r="H56" s="149">
        <v>100000</v>
      </c>
      <c r="I56" s="149">
        <f t="shared" si="4"/>
        <v>546785.122000001</v>
      </c>
      <c r="J56" s="147"/>
    </row>
    <row r="57" spans="1:10">
      <c r="A57" s="158"/>
      <c r="B57" s="151">
        <v>7</v>
      </c>
      <c r="C57" s="148"/>
      <c r="D57" s="148"/>
      <c r="E57" s="151"/>
      <c r="F57" s="157"/>
      <c r="G57" s="148">
        <v>41960</v>
      </c>
      <c r="H57" s="149">
        <v>546785.09</v>
      </c>
      <c r="I57" s="149">
        <f t="shared" si="4"/>
        <v>0.0320000009378418</v>
      </c>
      <c r="J57" s="147"/>
    </row>
    <row r="58" spans="1:10">
      <c r="A58" s="158"/>
      <c r="B58" s="151">
        <v>8</v>
      </c>
      <c r="C58" s="148">
        <v>41958</v>
      </c>
      <c r="D58" s="148">
        <v>41958</v>
      </c>
      <c r="E58" s="151"/>
      <c r="F58" s="157">
        <v>417544.1478</v>
      </c>
      <c r="G58" s="148">
        <v>42020</v>
      </c>
      <c r="H58" s="149">
        <v>208772.07</v>
      </c>
      <c r="I58" s="149">
        <f t="shared" si="4"/>
        <v>208772.109800001</v>
      </c>
      <c r="J58" s="147"/>
    </row>
    <row r="59" spans="1:10">
      <c r="A59" s="158"/>
      <c r="B59" s="151">
        <v>9</v>
      </c>
      <c r="C59" s="148"/>
      <c r="D59" s="148"/>
      <c r="E59" s="151"/>
      <c r="F59" s="157"/>
      <c r="G59" s="148"/>
      <c r="H59" s="165"/>
      <c r="I59" s="149">
        <f t="shared" si="4"/>
        <v>208772.109800001</v>
      </c>
      <c r="J59" s="147"/>
    </row>
    <row r="60" spans="1:10">
      <c r="A60" s="158"/>
      <c r="B60" s="151">
        <v>10</v>
      </c>
      <c r="C60" s="148"/>
      <c r="D60" s="148"/>
      <c r="E60" s="151"/>
      <c r="F60" s="157"/>
      <c r="G60" s="148"/>
      <c r="H60" s="149"/>
      <c r="I60" s="149">
        <f t="shared" si="4"/>
        <v>208772.109800001</v>
      </c>
      <c r="J60" s="147"/>
    </row>
    <row r="61" spans="1:10">
      <c r="A61" s="158"/>
      <c r="B61" s="151">
        <v>23</v>
      </c>
      <c r="C61" s="148"/>
      <c r="D61" s="148"/>
      <c r="E61" s="151"/>
      <c r="F61" s="157"/>
      <c r="G61" s="148"/>
      <c r="H61" s="149"/>
      <c r="I61" s="149">
        <f t="shared" si="4"/>
        <v>208772.109800001</v>
      </c>
      <c r="J61" s="147"/>
    </row>
    <row r="62" spans="1:10">
      <c r="A62" s="158"/>
      <c r="B62" s="151">
        <v>24</v>
      </c>
      <c r="C62" s="148"/>
      <c r="D62" s="148"/>
      <c r="E62" s="147"/>
      <c r="F62" s="157"/>
      <c r="G62" s="148"/>
      <c r="H62" s="149"/>
      <c r="I62" s="149">
        <f t="shared" si="4"/>
        <v>208772.109800001</v>
      </c>
      <c r="J62" s="147"/>
    </row>
    <row r="63" spans="1:10">
      <c r="A63" s="163"/>
      <c r="B63" s="147"/>
      <c r="C63" s="147"/>
      <c r="D63" s="148"/>
      <c r="E63" s="147"/>
      <c r="F63" s="157"/>
      <c r="G63" s="148"/>
      <c r="H63" s="149"/>
      <c r="I63" s="149">
        <f t="shared" si="4"/>
        <v>208772.109800001</v>
      </c>
      <c r="J63" s="147"/>
    </row>
    <row r="64" customHeight="1" spans="1:10">
      <c r="A64" s="153" t="s">
        <v>54</v>
      </c>
      <c r="B64" s="154"/>
      <c r="C64" s="155"/>
      <c r="D64" s="147"/>
      <c r="E64" s="147"/>
      <c r="F64" s="149">
        <f>SUM(F51:F63)</f>
        <v>514549.4094</v>
      </c>
      <c r="G64" s="147"/>
      <c r="H64" s="149">
        <f>SUM(H51:H63)</f>
        <v>1805557.16</v>
      </c>
      <c r="I64" s="149">
        <f>F64-H64+I50</f>
        <v>208772.109800001</v>
      </c>
      <c r="J64" s="147"/>
    </row>
    <row r="65" spans="1:10">
      <c r="A65" s="153" t="s">
        <v>56</v>
      </c>
      <c r="B65" s="154"/>
      <c r="C65" s="155"/>
      <c r="D65" s="147"/>
      <c r="E65" s="147"/>
      <c r="F65" s="149">
        <f>F8+F22+F36+F50+F64</f>
        <v>12974833.3298</v>
      </c>
      <c r="G65" s="147"/>
      <c r="H65" s="149">
        <f>H22+H8+H36+H50+H64</f>
        <v>12766061.22</v>
      </c>
      <c r="I65" s="149">
        <f>F65-H65</f>
        <v>208772.109800002</v>
      </c>
      <c r="J65" s="147"/>
    </row>
    <row r="68" spans="1:1">
      <c r="A68" s="144" t="s">
        <v>92</v>
      </c>
    </row>
    <row r="70" spans="8:8">
      <c r="H70" s="144" t="s">
        <v>86</v>
      </c>
    </row>
    <row r="71" spans="8:9">
      <c r="H71" s="167">
        <v>40936</v>
      </c>
      <c r="I71" s="168"/>
    </row>
  </sheetData>
  <mergeCells count="13">
    <mergeCell ref="A1:J1"/>
    <mergeCell ref="A8:C8"/>
    <mergeCell ref="A22:C22"/>
    <mergeCell ref="A36:C36"/>
    <mergeCell ref="A50:C50"/>
    <mergeCell ref="A64:C64"/>
    <mergeCell ref="A65:C65"/>
    <mergeCell ref="H71:I71"/>
    <mergeCell ref="A3:A7"/>
    <mergeCell ref="A9:A21"/>
    <mergeCell ref="A23:A35"/>
    <mergeCell ref="A37:A49"/>
    <mergeCell ref="A51:A63"/>
  </mergeCells>
  <pageMargins left="0.275" right="0.275" top="0.275" bottom="0.196527777777778" header="0.156944444444444" footer="0.156944444444444"/>
  <pageSetup paperSize="9" scale="97" orientation="portrait"/>
  <headerFooter alignWithMargins="0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8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H96" sqref="H96"/>
    </sheetView>
  </sheetViews>
  <sheetFormatPr defaultColWidth="9" defaultRowHeight="14.25"/>
  <cols>
    <col min="1" max="1" width="5.375" style="144" customWidth="1"/>
    <col min="2" max="2" width="3.875" style="144" customWidth="1"/>
    <col min="3" max="3" width="11.375" style="144" customWidth="1"/>
    <col min="4" max="4" width="13.5" style="144" hidden="1" customWidth="1"/>
    <col min="5" max="5" width="14" style="144" customWidth="1"/>
    <col min="6" max="6" width="10.375" style="144" customWidth="1"/>
    <col min="7" max="8" width="14.625" style="144" customWidth="1"/>
    <col min="9" max="9" width="13.875" style="145" customWidth="1"/>
    <col min="10" max="10" width="9" style="144"/>
    <col min="11" max="11" width="15.125" style="144" customWidth="1"/>
    <col min="12" max="12" width="9" style="144"/>
    <col min="13" max="14" width="15.125" style="144" customWidth="1"/>
    <col min="15" max="16384" width="9" style="144"/>
  </cols>
  <sheetData>
    <row r="1" ht="27.75" customHeight="1" spans="1:10">
      <c r="A1" s="146" t="s">
        <v>146</v>
      </c>
      <c r="B1" s="146"/>
      <c r="C1" s="146"/>
      <c r="D1" s="146"/>
      <c r="E1" s="146"/>
      <c r="F1" s="146"/>
      <c r="G1" s="146"/>
      <c r="H1" s="146"/>
      <c r="I1" s="146"/>
      <c r="J1" s="146"/>
    </row>
    <row r="2" s="143" customFormat="1" ht="20.25" customHeight="1" spans="1:10">
      <c r="A2" s="147" t="s">
        <v>30</v>
      </c>
      <c r="B2" s="147" t="s">
        <v>31</v>
      </c>
      <c r="C2" s="147" t="s">
        <v>33</v>
      </c>
      <c r="D2" s="147"/>
      <c r="E2" s="147" t="s">
        <v>34</v>
      </c>
      <c r="F2" s="147" t="s">
        <v>35</v>
      </c>
      <c r="G2" s="147" t="s">
        <v>36</v>
      </c>
      <c r="H2" s="147" t="s">
        <v>147</v>
      </c>
      <c r="I2" s="149" t="s">
        <v>84</v>
      </c>
      <c r="J2" s="147" t="s">
        <v>10</v>
      </c>
    </row>
    <row r="3" s="143" customFormat="1" ht="15" hidden="1" customHeight="1" spans="1:10">
      <c r="A3" s="147" t="s">
        <v>44</v>
      </c>
      <c r="B3" s="147">
        <v>1</v>
      </c>
      <c r="C3" s="148">
        <v>40764</v>
      </c>
      <c r="D3" s="148"/>
      <c r="E3" s="149">
        <v>89565.9</v>
      </c>
      <c r="F3" s="148"/>
      <c r="G3" s="149"/>
      <c r="H3" s="149"/>
      <c r="I3" s="149">
        <f>E3-G3</f>
        <v>89565.9</v>
      </c>
      <c r="J3" s="147"/>
    </row>
    <row r="4" s="143" customFormat="1" ht="15" hidden="1" customHeight="1" spans="1:10">
      <c r="A4" s="147"/>
      <c r="B4" s="147">
        <v>2</v>
      </c>
      <c r="C4" s="148">
        <v>40764</v>
      </c>
      <c r="D4" s="148"/>
      <c r="E4" s="150">
        <v>-9565.9</v>
      </c>
      <c r="F4" s="148"/>
      <c r="G4" s="149"/>
      <c r="H4" s="149"/>
      <c r="I4" s="149">
        <f>I3+E4-G4</f>
        <v>80000</v>
      </c>
      <c r="J4" s="147"/>
    </row>
    <row r="5" s="143" customFormat="1" ht="15" hidden="1" customHeight="1" spans="1:10">
      <c r="A5" s="147"/>
      <c r="B5" s="147">
        <v>3</v>
      </c>
      <c r="C5" s="148">
        <v>40806</v>
      </c>
      <c r="D5" s="148"/>
      <c r="E5" s="149">
        <v>4421.7</v>
      </c>
      <c r="F5" s="148"/>
      <c r="G5" s="149"/>
      <c r="H5" s="149"/>
      <c r="I5" s="149">
        <f t="shared" ref="I5:I28" si="0">I4+E5-G5</f>
        <v>84421.7</v>
      </c>
      <c r="J5" s="147"/>
    </row>
    <row r="6" s="143" customFormat="1" ht="15" hidden="1" customHeight="1" spans="1:10">
      <c r="A6" s="147"/>
      <c r="B6" s="147">
        <v>4</v>
      </c>
      <c r="C6" s="148">
        <v>40856</v>
      </c>
      <c r="D6" s="148"/>
      <c r="E6" s="149">
        <v>72100.08</v>
      </c>
      <c r="F6" s="148"/>
      <c r="G6" s="149"/>
      <c r="H6" s="149"/>
      <c r="I6" s="149">
        <f t="shared" si="0"/>
        <v>156521.78</v>
      </c>
      <c r="J6" s="147" t="s">
        <v>90</v>
      </c>
    </row>
    <row r="7" s="143" customFormat="1" ht="15" hidden="1" customHeight="1" spans="1:10">
      <c r="A7" s="147"/>
      <c r="B7" s="147">
        <v>5</v>
      </c>
      <c r="C7" s="148"/>
      <c r="D7" s="148"/>
      <c r="E7" s="149"/>
      <c r="F7" s="148">
        <v>40883</v>
      </c>
      <c r="G7" s="149">
        <v>45630</v>
      </c>
      <c r="H7" s="149"/>
      <c r="I7" s="149">
        <f t="shared" si="0"/>
        <v>110891.78</v>
      </c>
      <c r="J7" s="147"/>
    </row>
    <row r="8" s="143" customFormat="1" ht="15" hidden="1" customHeight="1" spans="1:10">
      <c r="A8" s="147"/>
      <c r="B8" s="147">
        <v>6</v>
      </c>
      <c r="C8" s="148"/>
      <c r="D8" s="148"/>
      <c r="E8" s="149"/>
      <c r="F8" s="148">
        <v>40907</v>
      </c>
      <c r="G8" s="149">
        <v>4421.7</v>
      </c>
      <c r="H8" s="149"/>
      <c r="I8" s="149">
        <f t="shared" si="0"/>
        <v>106470.08</v>
      </c>
      <c r="J8" s="147"/>
    </row>
    <row r="9" s="143" customFormat="1" ht="15" hidden="1" customHeight="1" spans="1:10">
      <c r="A9" s="147"/>
      <c r="B9" s="147">
        <v>7</v>
      </c>
      <c r="C9" s="148"/>
      <c r="D9" s="148"/>
      <c r="E9" s="149"/>
      <c r="F9" s="148"/>
      <c r="G9" s="149"/>
      <c r="H9" s="149"/>
      <c r="I9" s="149">
        <f t="shared" si="0"/>
        <v>106470.08</v>
      </c>
      <c r="J9" s="147"/>
    </row>
    <row r="10" s="143" customFormat="1" ht="15" hidden="1" customHeight="1" spans="1:10">
      <c r="A10" s="147"/>
      <c r="B10" s="147">
        <v>8</v>
      </c>
      <c r="C10" s="148"/>
      <c r="D10" s="148"/>
      <c r="E10" s="149"/>
      <c r="F10" s="148"/>
      <c r="G10" s="149"/>
      <c r="H10" s="149"/>
      <c r="I10" s="149">
        <f t="shared" si="0"/>
        <v>106470.08</v>
      </c>
      <c r="J10" s="147"/>
    </row>
    <row r="11" s="143" customFormat="1" ht="15" hidden="1" customHeight="1" spans="1:10">
      <c r="A11" s="147"/>
      <c r="B11" s="147">
        <v>9</v>
      </c>
      <c r="C11" s="148"/>
      <c r="D11" s="148"/>
      <c r="E11" s="149"/>
      <c r="F11" s="148"/>
      <c r="G11" s="149"/>
      <c r="H11" s="149"/>
      <c r="I11" s="149">
        <f t="shared" si="0"/>
        <v>106470.08</v>
      </c>
      <c r="J11" s="147"/>
    </row>
    <row r="12" s="143" customFormat="1" ht="15" hidden="1" customHeight="1" spans="1:10">
      <c r="A12" s="147"/>
      <c r="B12" s="147">
        <v>10</v>
      </c>
      <c r="C12" s="148"/>
      <c r="D12" s="148"/>
      <c r="E12" s="149"/>
      <c r="F12" s="148"/>
      <c r="G12" s="149"/>
      <c r="H12" s="149"/>
      <c r="I12" s="149">
        <f t="shared" si="0"/>
        <v>106470.08</v>
      </c>
      <c r="J12" s="147"/>
    </row>
    <row r="13" s="143" customFormat="1" ht="15" hidden="1" customHeight="1" spans="1:10">
      <c r="A13" s="147"/>
      <c r="B13" s="147">
        <v>11</v>
      </c>
      <c r="C13" s="148"/>
      <c r="D13" s="148"/>
      <c r="E13" s="149"/>
      <c r="F13" s="148"/>
      <c r="G13" s="149"/>
      <c r="H13" s="149"/>
      <c r="I13" s="149">
        <f t="shared" si="0"/>
        <v>106470.08</v>
      </c>
      <c r="J13" s="147"/>
    </row>
    <row r="14" s="143" customFormat="1" ht="15" hidden="1" customHeight="1" spans="1:10">
      <c r="A14" s="147"/>
      <c r="B14" s="147">
        <v>12</v>
      </c>
      <c r="C14" s="148"/>
      <c r="D14" s="148"/>
      <c r="E14" s="149"/>
      <c r="F14" s="148"/>
      <c r="G14" s="149"/>
      <c r="H14" s="149"/>
      <c r="I14" s="149">
        <f t="shared" si="0"/>
        <v>106470.08</v>
      </c>
      <c r="J14" s="147"/>
    </row>
    <row r="15" s="143" customFormat="1" ht="15" hidden="1" customHeight="1" spans="1:10">
      <c r="A15" s="147"/>
      <c r="B15" s="147">
        <v>13</v>
      </c>
      <c r="C15" s="148"/>
      <c r="D15" s="148"/>
      <c r="E15" s="149"/>
      <c r="F15" s="148"/>
      <c r="G15" s="149"/>
      <c r="H15" s="149"/>
      <c r="I15" s="149">
        <f t="shared" si="0"/>
        <v>106470.08</v>
      </c>
      <c r="J15" s="147"/>
    </row>
    <row r="16" s="143" customFormat="1" ht="15" hidden="1" customHeight="1" spans="1:10">
      <c r="A16" s="147"/>
      <c r="B16" s="147">
        <v>14</v>
      </c>
      <c r="C16" s="148"/>
      <c r="D16" s="148"/>
      <c r="E16" s="149"/>
      <c r="F16" s="148"/>
      <c r="G16" s="149"/>
      <c r="H16" s="149"/>
      <c r="I16" s="149">
        <f t="shared" si="0"/>
        <v>106470.08</v>
      </c>
      <c r="J16" s="147"/>
    </row>
    <row r="17" s="143" customFormat="1" ht="15" hidden="1" customHeight="1" spans="1:10">
      <c r="A17" s="147"/>
      <c r="B17" s="147">
        <v>15</v>
      </c>
      <c r="C17" s="148"/>
      <c r="D17" s="148"/>
      <c r="E17" s="149"/>
      <c r="F17" s="148"/>
      <c r="G17" s="149"/>
      <c r="H17" s="149"/>
      <c r="I17" s="149">
        <f t="shared" si="0"/>
        <v>106470.08</v>
      </c>
      <c r="J17" s="147"/>
    </row>
    <row r="18" s="143" customFormat="1" ht="15" hidden="1" customHeight="1" spans="1:10">
      <c r="A18" s="147"/>
      <c r="B18" s="147">
        <v>16</v>
      </c>
      <c r="C18" s="148"/>
      <c r="D18" s="148"/>
      <c r="E18" s="149"/>
      <c r="F18" s="148"/>
      <c r="G18" s="149"/>
      <c r="H18" s="149"/>
      <c r="I18" s="149">
        <f t="shared" si="0"/>
        <v>106470.08</v>
      </c>
      <c r="J18" s="147"/>
    </row>
    <row r="19" s="143" customFormat="1" ht="15" hidden="1" customHeight="1" spans="1:10">
      <c r="A19" s="147"/>
      <c r="B19" s="147">
        <v>17</v>
      </c>
      <c r="C19" s="148"/>
      <c r="D19" s="148"/>
      <c r="E19" s="149"/>
      <c r="F19" s="148"/>
      <c r="G19" s="149"/>
      <c r="H19" s="149"/>
      <c r="I19" s="149">
        <f t="shared" si="0"/>
        <v>106470.08</v>
      </c>
      <c r="J19" s="147"/>
    </row>
    <row r="20" s="143" customFormat="1" ht="15" hidden="1" customHeight="1" spans="1:10">
      <c r="A20" s="147"/>
      <c r="B20" s="147">
        <v>18</v>
      </c>
      <c r="C20" s="148"/>
      <c r="D20" s="148"/>
      <c r="E20" s="149"/>
      <c r="F20" s="147"/>
      <c r="G20" s="149"/>
      <c r="H20" s="149"/>
      <c r="I20" s="149">
        <f t="shared" si="0"/>
        <v>106470.08</v>
      </c>
      <c r="J20" s="147"/>
    </row>
    <row r="21" s="143" customFormat="1" ht="15" hidden="1" customHeight="1" spans="1:10">
      <c r="A21" s="147"/>
      <c r="B21" s="147">
        <v>19</v>
      </c>
      <c r="C21" s="148"/>
      <c r="D21" s="148"/>
      <c r="E21" s="149"/>
      <c r="F21" s="147"/>
      <c r="G21" s="149"/>
      <c r="H21" s="149"/>
      <c r="I21" s="149">
        <f t="shared" si="0"/>
        <v>106470.08</v>
      </c>
      <c r="J21" s="147"/>
    </row>
    <row r="22" s="143" customFormat="1" ht="15" hidden="1" customHeight="1" spans="1:10">
      <c r="A22" s="147"/>
      <c r="B22" s="147">
        <v>20</v>
      </c>
      <c r="C22" s="148"/>
      <c r="D22" s="148"/>
      <c r="E22" s="149"/>
      <c r="F22" s="147"/>
      <c r="G22" s="149"/>
      <c r="H22" s="149"/>
      <c r="I22" s="149">
        <f t="shared" si="0"/>
        <v>106470.08</v>
      </c>
      <c r="J22" s="147"/>
    </row>
    <row r="23" s="143" customFormat="1" ht="15" hidden="1" customHeight="1" spans="1:10">
      <c r="A23" s="147"/>
      <c r="B23" s="147">
        <v>21</v>
      </c>
      <c r="C23" s="148"/>
      <c r="D23" s="148"/>
      <c r="E23" s="149"/>
      <c r="F23" s="147"/>
      <c r="G23" s="149"/>
      <c r="H23" s="149"/>
      <c r="I23" s="149">
        <f t="shared" si="0"/>
        <v>106470.08</v>
      </c>
      <c r="J23" s="147"/>
    </row>
    <row r="24" s="143" customFormat="1" ht="15" hidden="1" customHeight="1" spans="1:10">
      <c r="A24" s="147"/>
      <c r="B24" s="147">
        <v>22</v>
      </c>
      <c r="C24" s="148"/>
      <c r="D24" s="148"/>
      <c r="E24" s="149"/>
      <c r="F24" s="148"/>
      <c r="G24" s="149"/>
      <c r="H24" s="149"/>
      <c r="I24" s="149">
        <f t="shared" si="0"/>
        <v>106470.08</v>
      </c>
      <c r="J24" s="147"/>
    </row>
    <row r="25" s="143" customFormat="1" ht="15" hidden="1" customHeight="1" spans="1:10">
      <c r="A25" s="147"/>
      <c r="B25" s="147">
        <v>23</v>
      </c>
      <c r="C25" s="148"/>
      <c r="D25" s="148"/>
      <c r="E25" s="149"/>
      <c r="F25" s="148"/>
      <c r="G25" s="149"/>
      <c r="H25" s="149"/>
      <c r="I25" s="149">
        <f t="shared" si="0"/>
        <v>106470.08</v>
      </c>
      <c r="J25" s="147"/>
    </row>
    <row r="26" s="143" customFormat="1" ht="15" hidden="1" customHeight="1" spans="1:10">
      <c r="A26" s="147"/>
      <c r="B26" s="147">
        <v>24</v>
      </c>
      <c r="C26" s="148"/>
      <c r="D26" s="148"/>
      <c r="E26" s="149"/>
      <c r="F26" s="147"/>
      <c r="G26" s="149"/>
      <c r="H26" s="149"/>
      <c r="I26" s="149">
        <f t="shared" si="0"/>
        <v>106470.08</v>
      </c>
      <c r="J26" s="147"/>
    </row>
    <row r="27" s="143" customFormat="1" ht="15" hidden="1" customHeight="1" spans="1:10">
      <c r="A27" s="147"/>
      <c r="B27" s="147">
        <v>25</v>
      </c>
      <c r="C27" s="148"/>
      <c r="D27" s="147"/>
      <c r="E27" s="149"/>
      <c r="F27" s="147"/>
      <c r="G27" s="149"/>
      <c r="H27" s="149"/>
      <c r="I27" s="149">
        <f t="shared" si="0"/>
        <v>106470.08</v>
      </c>
      <c r="J27" s="147"/>
    </row>
    <row r="28" s="143" customFormat="1" ht="15" hidden="1" customHeight="1" spans="1:10">
      <c r="A28" s="147"/>
      <c r="B28" s="147">
        <v>26</v>
      </c>
      <c r="C28" s="148"/>
      <c r="D28" s="151"/>
      <c r="E28" s="149"/>
      <c r="F28" s="147"/>
      <c r="G28" s="149"/>
      <c r="H28" s="149"/>
      <c r="I28" s="149">
        <f t="shared" si="0"/>
        <v>106470.08</v>
      </c>
      <c r="J28" s="147"/>
    </row>
    <row r="29" s="143" customFormat="1" ht="25.5" hidden="1" customHeight="1" spans="1:10">
      <c r="A29" s="147" t="s">
        <v>85</v>
      </c>
      <c r="B29" s="147"/>
      <c r="C29" s="147"/>
      <c r="D29" s="147"/>
      <c r="E29" s="149">
        <f>SUM(E3:E28)</f>
        <v>156521.78</v>
      </c>
      <c r="F29" s="147"/>
      <c r="G29" s="149">
        <f>SUM(G3:G28)</f>
        <v>50051.7</v>
      </c>
      <c r="H29" s="149"/>
      <c r="I29" s="149">
        <f>E29-G29</f>
        <v>106470.08</v>
      </c>
      <c r="J29" s="147"/>
    </row>
    <row r="30" s="143" customFormat="1" ht="18.75" hidden="1" customHeight="1" spans="1:13">
      <c r="A30" s="147" t="s">
        <v>46</v>
      </c>
      <c r="B30" s="147">
        <v>1</v>
      </c>
      <c r="C30" s="148">
        <v>40957</v>
      </c>
      <c r="D30" s="148"/>
      <c r="E30" s="149">
        <v>3931.2</v>
      </c>
      <c r="F30" s="148"/>
      <c r="G30" s="149"/>
      <c r="H30" s="149"/>
      <c r="I30" s="149">
        <f>I29+E30-G30</f>
        <v>110401.28</v>
      </c>
      <c r="J30" s="147"/>
      <c r="M30" s="152">
        <f>E30/1.17</f>
        <v>3360</v>
      </c>
    </row>
    <row r="31" s="143" customFormat="1" ht="18.75" hidden="1" customHeight="1" spans="1:13">
      <c r="A31" s="147"/>
      <c r="B31" s="147">
        <v>2</v>
      </c>
      <c r="C31" s="148">
        <v>40999</v>
      </c>
      <c r="D31" s="148"/>
      <c r="E31" s="149">
        <v>11232</v>
      </c>
      <c r="F31" s="148"/>
      <c r="G31" s="149"/>
      <c r="H31" s="149"/>
      <c r="I31" s="149">
        <f t="shared" ref="I31:I41" si="1">I30+E31-G31</f>
        <v>121633.28</v>
      </c>
      <c r="J31" s="147"/>
      <c r="M31" s="152">
        <f t="shared" ref="M31:M40" si="2">E31/1.17</f>
        <v>9600</v>
      </c>
    </row>
    <row r="32" s="143" customFormat="1" ht="18.75" hidden="1" customHeight="1" spans="1:13">
      <c r="A32" s="147"/>
      <c r="B32" s="147">
        <v>3</v>
      </c>
      <c r="C32" s="148">
        <v>41080</v>
      </c>
      <c r="D32" s="148"/>
      <c r="E32" s="149">
        <v>19487.52</v>
      </c>
      <c r="F32" s="148">
        <v>41064</v>
      </c>
      <c r="G32" s="149">
        <v>106470.08</v>
      </c>
      <c r="H32" s="149"/>
      <c r="I32" s="149">
        <f t="shared" si="1"/>
        <v>34650.72</v>
      </c>
      <c r="J32" s="147"/>
      <c r="M32" s="152">
        <f t="shared" si="2"/>
        <v>16656</v>
      </c>
    </row>
    <row r="33" s="143" customFormat="1" ht="18.75" hidden="1" customHeight="1" spans="1:13">
      <c r="A33" s="147"/>
      <c r="B33" s="147">
        <v>4</v>
      </c>
      <c r="C33" s="148">
        <v>41086</v>
      </c>
      <c r="D33" s="148"/>
      <c r="E33" s="149">
        <v>160467.84</v>
      </c>
      <c r="F33" s="148">
        <v>41177</v>
      </c>
      <c r="G33" s="149">
        <v>34650.72</v>
      </c>
      <c r="H33" s="149"/>
      <c r="I33" s="149">
        <f t="shared" si="1"/>
        <v>160467.84</v>
      </c>
      <c r="J33" s="147"/>
      <c r="M33" s="152">
        <f t="shared" si="2"/>
        <v>137152</v>
      </c>
    </row>
    <row r="34" s="143" customFormat="1" ht="18.75" hidden="1" customHeight="1" spans="1:13">
      <c r="A34" s="147"/>
      <c r="B34" s="147">
        <v>5</v>
      </c>
      <c r="C34" s="148">
        <v>41116</v>
      </c>
      <c r="D34" s="148"/>
      <c r="E34" s="149">
        <v>203336.64</v>
      </c>
      <c r="F34" s="148">
        <v>41206</v>
      </c>
      <c r="G34" s="149">
        <v>363804.48</v>
      </c>
      <c r="H34" s="149"/>
      <c r="I34" s="149">
        <f t="shared" si="1"/>
        <v>0</v>
      </c>
      <c r="J34" s="147"/>
      <c r="M34" s="152">
        <f t="shared" si="2"/>
        <v>173792</v>
      </c>
    </row>
    <row r="35" s="143" customFormat="1" ht="18.75" hidden="1" customHeight="1" spans="1:13">
      <c r="A35" s="147"/>
      <c r="B35" s="147">
        <v>6</v>
      </c>
      <c r="C35" s="148">
        <v>41147</v>
      </c>
      <c r="D35" s="148"/>
      <c r="E35" s="149">
        <v>516147.84</v>
      </c>
      <c r="F35" s="148">
        <v>41255</v>
      </c>
      <c r="G35" s="149">
        <v>516147.84</v>
      </c>
      <c r="H35" s="149"/>
      <c r="I35" s="149">
        <f t="shared" si="1"/>
        <v>0</v>
      </c>
      <c r="J35" s="147"/>
      <c r="M35" s="152">
        <f t="shared" si="2"/>
        <v>441152</v>
      </c>
    </row>
    <row r="36" s="143" customFormat="1" ht="18.75" hidden="1" customHeight="1" spans="1:13">
      <c r="A36" s="147"/>
      <c r="B36" s="147">
        <v>7</v>
      </c>
      <c r="C36" s="148">
        <v>41177</v>
      </c>
      <c r="D36" s="148"/>
      <c r="E36" s="149">
        <v>550873.44</v>
      </c>
      <c r="F36" s="148">
        <v>41268</v>
      </c>
      <c r="G36" s="149">
        <v>550873.44</v>
      </c>
      <c r="H36" s="149"/>
      <c r="I36" s="149">
        <f t="shared" si="1"/>
        <v>0</v>
      </c>
      <c r="J36" s="147"/>
      <c r="M36" s="152">
        <f t="shared" si="2"/>
        <v>470832</v>
      </c>
    </row>
    <row r="37" s="143" customFormat="1" ht="18.75" hidden="1" customHeight="1" spans="1:13">
      <c r="A37" s="147"/>
      <c r="B37" s="147">
        <v>8</v>
      </c>
      <c r="C37" s="148">
        <v>41207</v>
      </c>
      <c r="D37" s="148"/>
      <c r="E37" s="149">
        <v>555478.56</v>
      </c>
      <c r="F37" s="148">
        <v>41270</v>
      </c>
      <c r="G37" s="149">
        <v>555478.56</v>
      </c>
      <c r="H37" s="149"/>
      <c r="I37" s="149">
        <f t="shared" si="1"/>
        <v>0</v>
      </c>
      <c r="J37" s="147"/>
      <c r="M37" s="152">
        <f t="shared" si="2"/>
        <v>474768</v>
      </c>
    </row>
    <row r="38" s="143" customFormat="1" ht="18.75" hidden="1" customHeight="1" spans="1:13">
      <c r="A38" s="147"/>
      <c r="B38" s="147">
        <v>9</v>
      </c>
      <c r="C38" s="148">
        <v>41238</v>
      </c>
      <c r="D38" s="148"/>
      <c r="E38" s="149">
        <v>813252.96</v>
      </c>
      <c r="F38" s="148">
        <v>41364</v>
      </c>
      <c r="G38" s="149">
        <v>813252.96</v>
      </c>
      <c r="H38" s="149"/>
      <c r="I38" s="149">
        <f t="shared" si="1"/>
        <v>0</v>
      </c>
      <c r="J38" s="147"/>
      <c r="M38" s="152">
        <f t="shared" si="2"/>
        <v>695088</v>
      </c>
    </row>
    <row r="39" s="143" customFormat="1" ht="18.75" hidden="1" customHeight="1" spans="1:13">
      <c r="A39" s="147"/>
      <c r="B39" s="147">
        <v>10</v>
      </c>
      <c r="C39" s="148">
        <v>41269</v>
      </c>
      <c r="D39" s="148"/>
      <c r="E39" s="149">
        <v>503193.6</v>
      </c>
      <c r="F39" s="148">
        <v>41388</v>
      </c>
      <c r="G39" s="149">
        <v>503193.6</v>
      </c>
      <c r="H39" s="149"/>
      <c r="I39" s="149">
        <f t="shared" si="1"/>
        <v>0</v>
      </c>
      <c r="J39" s="147"/>
      <c r="M39" s="152">
        <f t="shared" si="2"/>
        <v>430080</v>
      </c>
    </row>
    <row r="40" s="143" customFormat="1" ht="18.75" hidden="1" customHeight="1" spans="1:13">
      <c r="A40" s="147"/>
      <c r="B40" s="147">
        <v>11</v>
      </c>
      <c r="C40" s="148"/>
      <c r="D40" s="148"/>
      <c r="E40" s="149"/>
      <c r="F40" s="148"/>
      <c r="G40" s="149"/>
      <c r="H40" s="149"/>
      <c r="I40" s="149">
        <f t="shared" si="1"/>
        <v>0</v>
      </c>
      <c r="J40" s="147"/>
      <c r="M40" s="152">
        <f t="shared" si="2"/>
        <v>0</v>
      </c>
    </row>
    <row r="41" s="143" customFormat="1" ht="18.75" hidden="1" customHeight="1" spans="1:10">
      <c r="A41" s="147"/>
      <c r="B41" s="147">
        <v>12</v>
      </c>
      <c r="C41" s="148"/>
      <c r="D41" s="148"/>
      <c r="E41" s="149"/>
      <c r="F41" s="148"/>
      <c r="G41" s="149"/>
      <c r="H41" s="149"/>
      <c r="I41" s="149">
        <f t="shared" si="1"/>
        <v>0</v>
      </c>
      <c r="J41" s="147"/>
    </row>
    <row r="42" hidden="1" spans="1:10">
      <c r="A42" s="147" t="s">
        <v>85</v>
      </c>
      <c r="B42" s="147"/>
      <c r="C42" s="147"/>
      <c r="D42" s="147"/>
      <c r="E42" s="149">
        <f>SUM(E30:E41)</f>
        <v>3337401.6</v>
      </c>
      <c r="F42" s="147"/>
      <c r="G42" s="149">
        <f>SUM(G30:G41)</f>
        <v>3443871.68</v>
      </c>
      <c r="H42" s="149"/>
      <c r="I42" s="149">
        <f>I29+E42-G42</f>
        <v>0</v>
      </c>
      <c r="J42" s="147"/>
    </row>
    <row r="43" hidden="1" spans="1:10">
      <c r="A43" s="147" t="s">
        <v>52</v>
      </c>
      <c r="B43" s="147">
        <v>1</v>
      </c>
      <c r="C43" s="148">
        <v>41299</v>
      </c>
      <c r="D43" s="148"/>
      <c r="E43" s="149">
        <v>741667.68</v>
      </c>
      <c r="F43" s="148">
        <v>41391</v>
      </c>
      <c r="G43" s="149">
        <v>300000</v>
      </c>
      <c r="H43" s="149"/>
      <c r="I43" s="149">
        <f>I42+E43-G43</f>
        <v>441667.68</v>
      </c>
      <c r="J43" s="147"/>
    </row>
    <row r="44" hidden="1" spans="1:10">
      <c r="A44" s="147"/>
      <c r="B44" s="147">
        <v>2</v>
      </c>
      <c r="C44" s="148">
        <v>41330</v>
      </c>
      <c r="D44" s="148"/>
      <c r="E44" s="149">
        <v>592993.44</v>
      </c>
      <c r="F44" s="148">
        <v>41425</v>
      </c>
      <c r="G44" s="149">
        <v>841667.68</v>
      </c>
      <c r="H44" s="149"/>
      <c r="I44" s="149">
        <f t="shared" ref="I44:I54" si="3">I43+E44-G44</f>
        <v>192993.44</v>
      </c>
      <c r="J44" s="147"/>
    </row>
    <row r="45" hidden="1" spans="1:10">
      <c r="A45" s="147"/>
      <c r="B45" s="147">
        <v>3</v>
      </c>
      <c r="C45" s="148">
        <v>41358</v>
      </c>
      <c r="D45" s="148"/>
      <c r="E45" s="149">
        <v>542730.24</v>
      </c>
      <c r="F45" s="148">
        <v>41455</v>
      </c>
      <c r="G45" s="149">
        <v>735723.68</v>
      </c>
      <c r="H45" s="149"/>
      <c r="I45" s="149">
        <f t="shared" si="3"/>
        <v>0</v>
      </c>
      <c r="J45" s="147"/>
    </row>
    <row r="46" hidden="1" spans="1:10">
      <c r="A46" s="147"/>
      <c r="B46" s="147">
        <v>4</v>
      </c>
      <c r="C46" s="148">
        <v>41390</v>
      </c>
      <c r="D46" s="148"/>
      <c r="E46" s="149">
        <v>835604.64</v>
      </c>
      <c r="F46" s="148">
        <v>41486</v>
      </c>
      <c r="G46" s="149">
        <v>835604.64</v>
      </c>
      <c r="H46" s="149"/>
      <c r="I46" s="149">
        <f t="shared" si="3"/>
        <v>0</v>
      </c>
      <c r="J46" s="147"/>
    </row>
    <row r="47" hidden="1" spans="1:10">
      <c r="A47" s="147"/>
      <c r="B47" s="147">
        <v>5</v>
      </c>
      <c r="C47" s="148">
        <v>41418</v>
      </c>
      <c r="D47" s="148"/>
      <c r="E47" s="149">
        <v>507892.32</v>
      </c>
      <c r="F47" s="148">
        <v>41517</v>
      </c>
      <c r="G47" s="149">
        <v>507892.32</v>
      </c>
      <c r="H47" s="149"/>
      <c r="I47" s="149">
        <f t="shared" si="3"/>
        <v>0</v>
      </c>
      <c r="J47" s="147"/>
    </row>
    <row r="48" hidden="1" spans="1:10">
      <c r="A48" s="147"/>
      <c r="B48" s="147">
        <v>6</v>
      </c>
      <c r="C48" s="148">
        <v>41450</v>
      </c>
      <c r="D48" s="148"/>
      <c r="E48" s="149">
        <v>676653.12</v>
      </c>
      <c r="F48" s="148">
        <v>41547</v>
      </c>
      <c r="G48" s="149">
        <f>563876.82+112776.3</f>
        <v>676653.12</v>
      </c>
      <c r="H48" s="149"/>
      <c r="I48" s="149">
        <f t="shared" si="3"/>
        <v>0</v>
      </c>
      <c r="J48" s="147"/>
    </row>
    <row r="49" hidden="1" spans="1:10">
      <c r="A49" s="147"/>
      <c r="B49" s="147">
        <v>7</v>
      </c>
      <c r="C49" s="148">
        <v>41480</v>
      </c>
      <c r="D49" s="148"/>
      <c r="E49" s="149">
        <v>518207.04</v>
      </c>
      <c r="F49" s="148">
        <v>41577</v>
      </c>
      <c r="G49" s="149">
        <v>518207.04</v>
      </c>
      <c r="H49" s="149"/>
      <c r="I49" s="149">
        <f t="shared" si="3"/>
        <v>0</v>
      </c>
      <c r="J49" s="147"/>
    </row>
    <row r="50" hidden="1" spans="1:10">
      <c r="A50" s="147"/>
      <c r="B50" s="147">
        <v>8</v>
      </c>
      <c r="C50" s="148">
        <v>41512</v>
      </c>
      <c r="D50" s="148"/>
      <c r="E50" s="149">
        <v>779238.72</v>
      </c>
      <c r="F50" s="148">
        <v>41639</v>
      </c>
      <c r="G50" s="149">
        <v>779238.72</v>
      </c>
      <c r="H50" s="149"/>
      <c r="I50" s="149">
        <f t="shared" si="3"/>
        <v>0</v>
      </c>
      <c r="J50" s="147"/>
    </row>
    <row r="51" hidden="1" spans="1:10">
      <c r="A51" s="147"/>
      <c r="B51" s="147">
        <v>9</v>
      </c>
      <c r="C51" s="148">
        <v>41547</v>
      </c>
      <c r="D51" s="148"/>
      <c r="E51" s="149">
        <v>841569.39</v>
      </c>
      <c r="F51" s="148">
        <v>41670</v>
      </c>
      <c r="G51" s="149">
        <v>841569.39</v>
      </c>
      <c r="H51" s="149"/>
      <c r="I51" s="149">
        <f t="shared" si="3"/>
        <v>0</v>
      </c>
      <c r="J51" s="147"/>
    </row>
    <row r="52" hidden="1" spans="1:10">
      <c r="A52" s="147"/>
      <c r="B52" s="147">
        <v>10</v>
      </c>
      <c r="C52" s="148">
        <v>41578</v>
      </c>
      <c r="D52" s="148"/>
      <c r="E52" s="149">
        <v>324506.15</v>
      </c>
      <c r="F52" s="148">
        <v>41670</v>
      </c>
      <c r="G52" s="149">
        <v>324506.15</v>
      </c>
      <c r="H52" s="149"/>
      <c r="I52" s="149">
        <f t="shared" si="3"/>
        <v>0</v>
      </c>
      <c r="J52" s="147"/>
    </row>
    <row r="53" hidden="1" spans="1:10">
      <c r="A53" s="147"/>
      <c r="B53" s="147">
        <v>11</v>
      </c>
      <c r="C53" s="148">
        <v>41608</v>
      </c>
      <c r="D53" s="148"/>
      <c r="E53" s="149">
        <v>771469.92</v>
      </c>
      <c r="F53" s="148">
        <v>41695</v>
      </c>
      <c r="G53" s="149">
        <v>771469.92</v>
      </c>
      <c r="H53" s="149"/>
      <c r="I53" s="149">
        <f t="shared" si="3"/>
        <v>0</v>
      </c>
      <c r="J53" s="147"/>
    </row>
    <row r="54" hidden="1" spans="1:10">
      <c r="A54" s="147"/>
      <c r="B54" s="147">
        <v>12</v>
      </c>
      <c r="C54" s="148"/>
      <c r="D54" s="148"/>
      <c r="E54" s="149"/>
      <c r="F54" s="148"/>
      <c r="G54" s="149"/>
      <c r="H54" s="149"/>
      <c r="I54" s="149">
        <f t="shared" si="3"/>
        <v>0</v>
      </c>
      <c r="J54" s="147"/>
    </row>
    <row r="55" hidden="1" spans="1:10">
      <c r="A55" s="147" t="s">
        <v>85</v>
      </c>
      <c r="B55" s="147"/>
      <c r="C55" s="147"/>
      <c r="D55" s="147"/>
      <c r="E55" s="149">
        <f>SUM(E43:E54)</f>
        <v>7132532.66</v>
      </c>
      <c r="F55" s="147"/>
      <c r="G55" s="149">
        <f>SUM(G43:G54)</f>
        <v>7132532.66</v>
      </c>
      <c r="H55" s="149"/>
      <c r="I55" s="149">
        <f>I42+E55-G55</f>
        <v>0</v>
      </c>
      <c r="J55" s="147"/>
    </row>
    <row r="56" hidden="1" spans="1:10">
      <c r="A56" s="147" t="s">
        <v>55</v>
      </c>
      <c r="B56" s="147">
        <v>1</v>
      </c>
      <c r="C56" s="148">
        <v>41664</v>
      </c>
      <c r="D56" s="148"/>
      <c r="E56" s="149">
        <v>521071.2</v>
      </c>
      <c r="F56" s="148">
        <v>41757</v>
      </c>
      <c r="G56" s="149">
        <v>521071.2</v>
      </c>
      <c r="H56" s="149"/>
      <c r="I56" s="149">
        <f>I55+E56-G56</f>
        <v>0</v>
      </c>
      <c r="J56" s="147"/>
    </row>
    <row r="57" hidden="1" spans="1:10">
      <c r="A57" s="147"/>
      <c r="B57" s="147">
        <v>2</v>
      </c>
      <c r="C57" s="148">
        <v>41697</v>
      </c>
      <c r="D57" s="148"/>
      <c r="E57" s="149">
        <v>312957.5</v>
      </c>
      <c r="F57" s="148">
        <v>41789</v>
      </c>
      <c r="G57" s="149">
        <v>312957.5</v>
      </c>
      <c r="H57" s="149"/>
      <c r="I57" s="149">
        <f t="shared" ref="I57:I70" si="4">I56+E57-G57</f>
        <v>0</v>
      </c>
      <c r="J57" s="147"/>
    </row>
    <row r="58" hidden="1" spans="1:10">
      <c r="A58" s="147"/>
      <c r="B58" s="147">
        <v>3</v>
      </c>
      <c r="C58" s="148">
        <v>41723</v>
      </c>
      <c r="D58" s="148"/>
      <c r="E58" s="149">
        <v>593929.44</v>
      </c>
      <c r="F58" s="148">
        <v>41821</v>
      </c>
      <c r="G58" s="149">
        <v>593929.44</v>
      </c>
      <c r="H58" s="149"/>
      <c r="I58" s="149">
        <f t="shared" si="4"/>
        <v>0</v>
      </c>
      <c r="J58" s="147"/>
    </row>
    <row r="59" hidden="1" spans="1:10">
      <c r="A59" s="147"/>
      <c r="B59" s="147">
        <v>4</v>
      </c>
      <c r="C59" s="148">
        <v>41755</v>
      </c>
      <c r="D59" s="148"/>
      <c r="E59" s="149">
        <v>560942.55</v>
      </c>
      <c r="F59" s="148">
        <v>41861</v>
      </c>
      <c r="G59" s="149">
        <v>560942.55</v>
      </c>
      <c r="H59" s="149"/>
      <c r="I59" s="149">
        <f t="shared" si="4"/>
        <v>0</v>
      </c>
      <c r="J59" s="147"/>
    </row>
    <row r="60" hidden="1" spans="1:10">
      <c r="A60" s="147"/>
      <c r="B60" s="147">
        <v>5</v>
      </c>
      <c r="C60" s="148">
        <v>41785</v>
      </c>
      <c r="D60" s="148"/>
      <c r="E60" s="149">
        <v>680060.16</v>
      </c>
      <c r="F60" s="148">
        <v>41878</v>
      </c>
      <c r="G60" s="149">
        <v>680060.16</v>
      </c>
      <c r="H60" s="149"/>
      <c r="I60" s="149">
        <f t="shared" si="4"/>
        <v>0</v>
      </c>
      <c r="J60" s="147"/>
    </row>
    <row r="61" hidden="1" spans="1:10">
      <c r="A61" s="147"/>
      <c r="B61" s="147">
        <v>6</v>
      </c>
      <c r="C61" s="148">
        <v>41815</v>
      </c>
      <c r="D61" s="148"/>
      <c r="E61" s="149">
        <v>859349.84</v>
      </c>
      <c r="F61" s="148">
        <v>41921</v>
      </c>
      <c r="G61" s="149">
        <v>859349.84</v>
      </c>
      <c r="H61" s="149"/>
      <c r="I61" s="149">
        <f t="shared" si="4"/>
        <v>0</v>
      </c>
      <c r="J61" s="147"/>
    </row>
    <row r="62" hidden="1" spans="1:10">
      <c r="A62" s="147"/>
      <c r="B62" s="147">
        <v>7</v>
      </c>
      <c r="C62" s="148">
        <v>41845</v>
      </c>
      <c r="D62" s="148"/>
      <c r="E62" s="149">
        <v>779244.87</v>
      </c>
      <c r="F62" s="148">
        <v>41936</v>
      </c>
      <c r="G62" s="149">
        <v>779244.87</v>
      </c>
      <c r="H62" s="149"/>
      <c r="I62" s="149">
        <f t="shared" si="4"/>
        <v>0</v>
      </c>
      <c r="J62" s="147"/>
    </row>
    <row r="63" hidden="1" spans="1:10">
      <c r="A63" s="147"/>
      <c r="B63" s="147">
        <v>8</v>
      </c>
      <c r="C63" s="148">
        <v>41876</v>
      </c>
      <c r="D63" s="148"/>
      <c r="E63" s="149">
        <v>782824.72</v>
      </c>
      <c r="F63" s="148">
        <v>41982</v>
      </c>
      <c r="G63" s="149">
        <v>782824.72</v>
      </c>
      <c r="H63" s="149"/>
      <c r="I63" s="149">
        <f t="shared" si="4"/>
        <v>0</v>
      </c>
      <c r="J63" s="147"/>
    </row>
    <row r="64" hidden="1" spans="1:10">
      <c r="A64" s="147"/>
      <c r="B64" s="147">
        <v>9</v>
      </c>
      <c r="C64" s="148">
        <v>41907</v>
      </c>
      <c r="D64" s="148"/>
      <c r="E64" s="149">
        <v>727075.72</v>
      </c>
      <c r="F64" s="148">
        <v>42003</v>
      </c>
      <c r="G64" s="149">
        <v>727075.72</v>
      </c>
      <c r="H64" s="149"/>
      <c r="I64" s="149">
        <f t="shared" si="4"/>
        <v>0</v>
      </c>
      <c r="J64" s="147"/>
    </row>
    <row r="65" hidden="1" spans="1:10">
      <c r="A65" s="147"/>
      <c r="B65" s="147">
        <v>10</v>
      </c>
      <c r="C65" s="148">
        <v>41937</v>
      </c>
      <c r="D65" s="148"/>
      <c r="E65" s="149">
        <v>723348.66</v>
      </c>
      <c r="F65" s="148">
        <v>42033</v>
      </c>
      <c r="G65" s="149">
        <v>723348.66</v>
      </c>
      <c r="H65" s="149"/>
      <c r="I65" s="149">
        <f t="shared" si="4"/>
        <v>0</v>
      </c>
      <c r="J65" s="147"/>
    </row>
    <row r="66" hidden="1" spans="1:10">
      <c r="A66" s="147"/>
      <c r="B66" s="147">
        <v>11</v>
      </c>
      <c r="C66" s="148">
        <v>41968</v>
      </c>
      <c r="D66" s="148"/>
      <c r="E66" s="149">
        <v>868031.8</v>
      </c>
      <c r="F66" s="148">
        <v>42063</v>
      </c>
      <c r="G66" s="149">
        <v>868031.8</v>
      </c>
      <c r="H66" s="149"/>
      <c r="I66" s="149">
        <f t="shared" si="4"/>
        <v>0</v>
      </c>
      <c r="J66" s="147"/>
    </row>
    <row r="67" hidden="1" spans="1:10">
      <c r="A67" s="147"/>
      <c r="B67" s="147">
        <v>12</v>
      </c>
      <c r="C67" s="148">
        <v>41998</v>
      </c>
      <c r="D67" s="148"/>
      <c r="E67" s="149">
        <v>920456.88</v>
      </c>
      <c r="F67" s="148">
        <v>42090</v>
      </c>
      <c r="G67" s="149">
        <v>920456.88</v>
      </c>
      <c r="H67" s="149"/>
      <c r="I67" s="149">
        <f t="shared" si="4"/>
        <v>0</v>
      </c>
      <c r="J67" s="147"/>
    </row>
    <row r="68" hidden="1" spans="1:10">
      <c r="A68" s="147"/>
      <c r="B68" s="147">
        <v>13</v>
      </c>
      <c r="C68" s="148"/>
      <c r="D68" s="148"/>
      <c r="E68" s="149"/>
      <c r="F68" s="148"/>
      <c r="G68" s="149"/>
      <c r="H68" s="149"/>
      <c r="I68" s="149">
        <f t="shared" si="4"/>
        <v>0</v>
      </c>
      <c r="J68" s="147"/>
    </row>
    <row r="69" hidden="1" spans="1:10">
      <c r="A69" s="147"/>
      <c r="B69" s="147">
        <v>14</v>
      </c>
      <c r="C69" s="148"/>
      <c r="D69" s="148"/>
      <c r="E69" s="149"/>
      <c r="F69" s="148"/>
      <c r="G69" s="149"/>
      <c r="H69" s="149"/>
      <c r="I69" s="149">
        <f t="shared" si="4"/>
        <v>0</v>
      </c>
      <c r="J69" s="147"/>
    </row>
    <row r="70" hidden="1" spans="1:10">
      <c r="A70" s="147"/>
      <c r="B70" s="147">
        <v>15</v>
      </c>
      <c r="C70" s="148"/>
      <c r="D70" s="148"/>
      <c r="E70" s="149"/>
      <c r="F70" s="148"/>
      <c r="G70" s="149"/>
      <c r="H70" s="149"/>
      <c r="I70" s="149">
        <f t="shared" si="4"/>
        <v>0</v>
      </c>
      <c r="J70" s="147"/>
    </row>
    <row r="71" hidden="1" spans="1:10">
      <c r="A71" s="147" t="s">
        <v>85</v>
      </c>
      <c r="B71" s="147"/>
      <c r="C71" s="147"/>
      <c r="D71" s="147"/>
      <c r="E71" s="149">
        <f>SUM(E56:E70)</f>
        <v>8329293.34</v>
      </c>
      <c r="F71" s="147"/>
      <c r="G71" s="149">
        <f>SUM(G56:G70)</f>
        <v>8329293.34</v>
      </c>
      <c r="H71" s="149"/>
      <c r="I71" s="149">
        <f>I55+E71-G71</f>
        <v>0</v>
      </c>
      <c r="J71" s="147"/>
    </row>
    <row r="72" spans="1:10">
      <c r="A72" s="147" t="s">
        <v>148</v>
      </c>
      <c r="B72" s="147">
        <v>1</v>
      </c>
      <c r="C72" s="148">
        <v>42031</v>
      </c>
      <c r="D72" s="148"/>
      <c r="E72" s="149">
        <v>796994.64</v>
      </c>
      <c r="F72" s="148">
        <v>42124</v>
      </c>
      <c r="G72" s="149">
        <v>796994.64</v>
      </c>
      <c r="H72" s="149"/>
      <c r="I72" s="149">
        <f>I71+E72-G72</f>
        <v>0</v>
      </c>
      <c r="J72" s="147"/>
    </row>
    <row r="73" spans="1:10">
      <c r="A73" s="147"/>
      <c r="B73" s="147">
        <v>2</v>
      </c>
      <c r="C73" s="148">
        <v>42061</v>
      </c>
      <c r="D73" s="148"/>
      <c r="E73" s="149">
        <v>525404.22</v>
      </c>
      <c r="F73" s="148">
        <v>42154</v>
      </c>
      <c r="G73" s="149">
        <v>525404.22</v>
      </c>
      <c r="H73" s="149"/>
      <c r="I73" s="149">
        <f t="shared" ref="I73:I86" si="5">I72+E73-G73</f>
        <v>0</v>
      </c>
      <c r="J73" s="147"/>
    </row>
    <row r="74" spans="1:10">
      <c r="A74" s="147"/>
      <c r="B74" s="147">
        <v>3</v>
      </c>
      <c r="C74" s="148">
        <v>42090</v>
      </c>
      <c r="D74" s="148"/>
      <c r="E74" s="149">
        <v>793282.74</v>
      </c>
      <c r="F74" s="148">
        <v>42185</v>
      </c>
      <c r="G74" s="149">
        <v>793282.74</v>
      </c>
      <c r="H74" s="149"/>
      <c r="I74" s="149">
        <f t="shared" si="5"/>
        <v>0</v>
      </c>
      <c r="J74" s="147"/>
    </row>
    <row r="75" spans="1:10">
      <c r="A75" s="147"/>
      <c r="B75" s="147">
        <v>4</v>
      </c>
      <c r="C75" s="148">
        <v>42121</v>
      </c>
      <c r="D75" s="148"/>
      <c r="E75" s="149">
        <v>952781.73</v>
      </c>
      <c r="F75" s="148">
        <v>42216</v>
      </c>
      <c r="G75" s="149">
        <v>476390.87</v>
      </c>
      <c r="H75" s="149"/>
      <c r="I75" s="149">
        <f t="shared" si="5"/>
        <v>476390.86</v>
      </c>
      <c r="J75" s="147"/>
    </row>
    <row r="76" spans="1:10">
      <c r="A76" s="147"/>
      <c r="B76" s="147">
        <v>5</v>
      </c>
      <c r="C76" s="148">
        <v>42149</v>
      </c>
      <c r="D76" s="148"/>
      <c r="E76" s="149">
        <v>893388.93</v>
      </c>
      <c r="F76" s="148">
        <v>42237</v>
      </c>
      <c r="G76" s="149">
        <v>476390.86</v>
      </c>
      <c r="H76" s="149"/>
      <c r="I76" s="149">
        <f t="shared" si="5"/>
        <v>893388.93</v>
      </c>
      <c r="J76" s="147"/>
    </row>
    <row r="77" spans="1:10">
      <c r="A77" s="147"/>
      <c r="B77" s="147">
        <v>6</v>
      </c>
      <c r="C77" s="148"/>
      <c r="D77" s="148"/>
      <c r="E77" s="149"/>
      <c r="F77" s="148">
        <v>42247</v>
      </c>
      <c r="G77" s="149">
        <v>893388.93</v>
      </c>
      <c r="H77" s="149"/>
      <c r="I77" s="149">
        <f t="shared" si="5"/>
        <v>0</v>
      </c>
      <c r="J77" s="147"/>
    </row>
    <row r="78" spans="1:10">
      <c r="A78" s="147"/>
      <c r="B78" s="147">
        <v>7</v>
      </c>
      <c r="C78" s="148"/>
      <c r="D78" s="148"/>
      <c r="E78" s="149"/>
      <c r="F78" s="148"/>
      <c r="G78" s="149"/>
      <c r="H78" s="149"/>
      <c r="I78" s="149">
        <f t="shared" si="5"/>
        <v>0</v>
      </c>
      <c r="J78" s="147"/>
    </row>
    <row r="79" spans="1:10">
      <c r="A79" s="147"/>
      <c r="B79" s="147">
        <v>8</v>
      </c>
      <c r="C79" s="148"/>
      <c r="D79" s="148"/>
      <c r="E79" s="149"/>
      <c r="F79" s="148"/>
      <c r="G79" s="149"/>
      <c r="H79" s="149"/>
      <c r="I79" s="149">
        <f t="shared" si="5"/>
        <v>0</v>
      </c>
      <c r="J79" s="147"/>
    </row>
    <row r="80" spans="1:10">
      <c r="A80" s="147"/>
      <c r="B80" s="147">
        <v>9</v>
      </c>
      <c r="C80" s="148"/>
      <c r="D80" s="148"/>
      <c r="E80" s="149"/>
      <c r="F80" s="148"/>
      <c r="G80" s="149"/>
      <c r="H80" s="149"/>
      <c r="I80" s="149">
        <f t="shared" si="5"/>
        <v>0</v>
      </c>
      <c r="J80" s="147"/>
    </row>
    <row r="81" spans="1:10">
      <c r="A81" s="147"/>
      <c r="B81" s="147">
        <v>10</v>
      </c>
      <c r="C81" s="148"/>
      <c r="D81" s="148"/>
      <c r="E81" s="149"/>
      <c r="F81" s="148"/>
      <c r="G81" s="149"/>
      <c r="H81" s="149"/>
      <c r="I81" s="149">
        <f t="shared" si="5"/>
        <v>0</v>
      </c>
      <c r="J81" s="147"/>
    </row>
    <row r="82" spans="1:10">
      <c r="A82" s="147"/>
      <c r="B82" s="147">
        <v>11</v>
      </c>
      <c r="C82" s="148"/>
      <c r="D82" s="148"/>
      <c r="E82" s="149"/>
      <c r="F82" s="148"/>
      <c r="G82" s="149"/>
      <c r="H82" s="149"/>
      <c r="I82" s="149">
        <f t="shared" si="5"/>
        <v>0</v>
      </c>
      <c r="J82" s="147"/>
    </row>
    <row r="83" spans="1:10">
      <c r="A83" s="147"/>
      <c r="B83" s="147">
        <v>12</v>
      </c>
      <c r="C83" s="148"/>
      <c r="D83" s="148"/>
      <c r="E83" s="149"/>
      <c r="F83" s="148"/>
      <c r="G83" s="149"/>
      <c r="H83" s="149"/>
      <c r="I83" s="149">
        <f t="shared" si="5"/>
        <v>0</v>
      </c>
      <c r="J83" s="147"/>
    </row>
    <row r="84" spans="1:10">
      <c r="A84" s="147"/>
      <c r="B84" s="147">
        <v>13</v>
      </c>
      <c r="C84" s="148"/>
      <c r="D84" s="148"/>
      <c r="E84" s="149"/>
      <c r="F84" s="148"/>
      <c r="G84" s="149"/>
      <c r="H84" s="149"/>
      <c r="I84" s="149">
        <f t="shared" si="5"/>
        <v>0</v>
      </c>
      <c r="J84" s="147"/>
    </row>
    <row r="85" spans="1:10">
      <c r="A85" s="147"/>
      <c r="B85" s="147">
        <v>14</v>
      </c>
      <c r="C85" s="148"/>
      <c r="D85" s="148"/>
      <c r="E85" s="149"/>
      <c r="F85" s="148"/>
      <c r="G85" s="149"/>
      <c r="H85" s="149"/>
      <c r="I85" s="149">
        <f t="shared" si="5"/>
        <v>0</v>
      </c>
      <c r="J85" s="147"/>
    </row>
    <row r="86" spans="1:10">
      <c r="A86" s="147"/>
      <c r="B86" s="147">
        <v>15</v>
      </c>
      <c r="C86" s="148"/>
      <c r="D86" s="148"/>
      <c r="E86" s="149"/>
      <c r="F86" s="148"/>
      <c r="G86" s="149"/>
      <c r="H86" s="149"/>
      <c r="I86" s="149">
        <f t="shared" si="5"/>
        <v>0</v>
      </c>
      <c r="J86" s="147"/>
    </row>
    <row r="87" spans="1:10">
      <c r="A87" s="147" t="s">
        <v>85</v>
      </c>
      <c r="B87" s="147"/>
      <c r="C87" s="147"/>
      <c r="D87" s="147"/>
      <c r="E87" s="149">
        <f>SUM(E72:E86)</f>
        <v>3961852.26</v>
      </c>
      <c r="F87" s="147"/>
      <c r="G87" s="149">
        <f>SUM(G72:G86)</f>
        <v>3961852.26</v>
      </c>
      <c r="H87" s="149"/>
      <c r="I87" s="149">
        <f>I71+E87-G87</f>
        <v>0</v>
      </c>
      <c r="J87" s="147"/>
    </row>
    <row r="88" spans="1:10">
      <c r="A88" s="147" t="s">
        <v>91</v>
      </c>
      <c r="B88" s="147"/>
      <c r="C88" s="147"/>
      <c r="D88" s="147"/>
      <c r="E88" s="149">
        <f>SUM(E29,E42,E55,E71,E87)</f>
        <v>22917601.64</v>
      </c>
      <c r="F88" s="147"/>
      <c r="G88" s="149">
        <f>SUM(G29,G42,G55,G71,G87)</f>
        <v>22917601.64</v>
      </c>
      <c r="H88" s="149"/>
      <c r="I88" s="149">
        <f>E88-G88</f>
        <v>0</v>
      </c>
      <c r="J88" s="147"/>
    </row>
  </sheetData>
  <mergeCells count="12">
    <mergeCell ref="A1:J1"/>
    <mergeCell ref="A29:B29"/>
    <mergeCell ref="A42:B42"/>
    <mergeCell ref="A55:B55"/>
    <mergeCell ref="A71:B71"/>
    <mergeCell ref="A87:B87"/>
    <mergeCell ref="A88:B88"/>
    <mergeCell ref="A3:A28"/>
    <mergeCell ref="A30:A41"/>
    <mergeCell ref="A43:A54"/>
    <mergeCell ref="A56:A70"/>
    <mergeCell ref="A72:A86"/>
  </mergeCells>
  <pageMargins left="0.269444444444444" right="0.259722222222222" top="0.259722222222222" bottom="0.189583333333333" header="0.169444444444444" footer="0.169444444444444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Q36"/>
  <sheetViews>
    <sheetView zoomScale="90" zoomScaleNormal="90" workbookViewId="0">
      <pane xSplit="5" ySplit="5" topLeftCell="F6" activePane="bottomRight" state="frozen"/>
      <selection/>
      <selection pane="topRight"/>
      <selection pane="bottomLeft"/>
      <selection pane="bottomRight" activeCell="N5" sqref="N5"/>
    </sheetView>
  </sheetViews>
  <sheetFormatPr defaultColWidth="9" defaultRowHeight="14.25"/>
  <cols>
    <col min="1" max="1" width="6.75" style="119" customWidth="1"/>
    <col min="2" max="2" width="7.5" style="119" customWidth="1"/>
    <col min="3" max="3" width="15.25" style="119" customWidth="1"/>
    <col min="4" max="4" width="11.25" style="119" customWidth="1"/>
    <col min="5" max="7" width="15.25" style="119" customWidth="1"/>
    <col min="8" max="8" width="10.375" style="119" customWidth="1"/>
    <col min="9" max="9" width="15.25" style="119" customWidth="1"/>
    <col min="10" max="10" width="9.375" style="119" customWidth="1"/>
    <col min="11" max="11" width="15.25" style="119" customWidth="1"/>
    <col min="12" max="12" width="8.875" style="119" customWidth="1"/>
    <col min="13" max="13" width="5.25" style="119" customWidth="1"/>
    <col min="14" max="16" width="8.875" style="119" customWidth="1"/>
    <col min="17" max="17" width="16.375" style="119" customWidth="1"/>
    <col min="18" max="16384" width="9" style="119"/>
  </cols>
  <sheetData>
    <row r="1" ht="33.75" spans="1:1">
      <c r="A1" s="2" t="s">
        <v>149</v>
      </c>
    </row>
    <row r="3" s="115" customFormat="1" ht="30.75" customHeight="1" spans="1:17">
      <c r="A3" s="120" t="s">
        <v>150</v>
      </c>
      <c r="B3" s="121" t="s">
        <v>0</v>
      </c>
      <c r="C3" s="122" t="s">
        <v>151</v>
      </c>
      <c r="D3" s="123"/>
      <c r="E3" s="124"/>
      <c r="F3" s="125" t="s">
        <v>152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="116" customFormat="1" ht="30.75" customHeight="1" spans="1:17">
      <c r="A4" s="120"/>
      <c r="B4" s="121"/>
      <c r="C4" s="126" t="s">
        <v>153</v>
      </c>
      <c r="D4" s="126" t="s">
        <v>154</v>
      </c>
      <c r="E4" s="127" t="s">
        <v>113</v>
      </c>
      <c r="F4" s="126" t="s">
        <v>155</v>
      </c>
      <c r="G4" s="128" t="s">
        <v>156</v>
      </c>
      <c r="H4" s="125" t="s">
        <v>157</v>
      </c>
      <c r="I4" s="125"/>
      <c r="J4" s="125"/>
      <c r="K4" s="128"/>
      <c r="L4" s="125" t="s">
        <v>158</v>
      </c>
      <c r="M4" s="125"/>
      <c r="N4" s="125"/>
      <c r="O4" s="125"/>
      <c r="P4" s="128"/>
      <c r="Q4" s="125" t="s">
        <v>38</v>
      </c>
    </row>
    <row r="5" s="117" customFormat="1" ht="30.75" customHeight="1" spans="1:17">
      <c r="A5" s="120"/>
      <c r="B5" s="121"/>
      <c r="C5" s="125"/>
      <c r="D5" s="125"/>
      <c r="E5" s="125"/>
      <c r="F5" s="125"/>
      <c r="G5" s="127"/>
      <c r="H5" s="125" t="s">
        <v>33</v>
      </c>
      <c r="I5" s="125" t="s">
        <v>159</v>
      </c>
      <c r="J5" s="125" t="s">
        <v>35</v>
      </c>
      <c r="K5" s="127" t="s">
        <v>160</v>
      </c>
      <c r="L5" s="125" t="s">
        <v>161</v>
      </c>
      <c r="M5" s="125" t="s">
        <v>113</v>
      </c>
      <c r="N5" s="125" t="s">
        <v>162</v>
      </c>
      <c r="O5" s="125" t="s">
        <v>163</v>
      </c>
      <c r="P5" s="127" t="s">
        <v>164</v>
      </c>
      <c r="Q5" s="125"/>
    </row>
    <row r="6" ht="24.75" customHeight="1" spans="1:17">
      <c r="A6" s="129" t="s">
        <v>165</v>
      </c>
      <c r="B6" s="121" t="s">
        <v>166</v>
      </c>
      <c r="C6" s="130"/>
      <c r="D6" s="130"/>
      <c r="E6" s="130">
        <f t="shared" ref="E6:E11" si="0">C6-D6</f>
        <v>0</v>
      </c>
      <c r="F6" s="130"/>
      <c r="G6" s="131"/>
      <c r="H6" s="132"/>
      <c r="I6" s="131"/>
      <c r="J6" s="132"/>
      <c r="K6" s="131"/>
      <c r="L6" s="139"/>
      <c r="M6" s="139"/>
      <c r="N6" s="139"/>
      <c r="O6" s="139"/>
      <c r="P6" s="139"/>
      <c r="Q6" s="136">
        <f t="shared" ref="Q6:Q20" si="1">F6+G6-K6-P6</f>
        <v>0</v>
      </c>
    </row>
    <row r="7" ht="24.75" customHeight="1" spans="1:17">
      <c r="A7" s="129"/>
      <c r="B7" s="121" t="s">
        <v>167</v>
      </c>
      <c r="C7" s="130"/>
      <c r="D7" s="130"/>
      <c r="E7" s="130">
        <f t="shared" si="0"/>
        <v>0</v>
      </c>
      <c r="F7" s="130"/>
      <c r="G7" s="131"/>
      <c r="H7" s="132"/>
      <c r="I7" s="131"/>
      <c r="J7" s="132"/>
      <c r="K7" s="131"/>
      <c r="L7" s="139"/>
      <c r="M7" s="139"/>
      <c r="N7" s="139"/>
      <c r="O7" s="139"/>
      <c r="P7" s="139"/>
      <c r="Q7" s="136">
        <f t="shared" si="1"/>
        <v>0</v>
      </c>
    </row>
    <row r="8" ht="24.75" customHeight="1" spans="1:17">
      <c r="A8" s="129"/>
      <c r="B8" s="133" t="s">
        <v>168</v>
      </c>
      <c r="C8" s="130"/>
      <c r="D8" s="130"/>
      <c r="E8" s="130">
        <f t="shared" si="0"/>
        <v>0</v>
      </c>
      <c r="F8" s="130"/>
      <c r="G8" s="131"/>
      <c r="H8" s="132"/>
      <c r="I8" s="131"/>
      <c r="J8" s="132"/>
      <c r="K8" s="131"/>
      <c r="L8" s="139"/>
      <c r="M8" s="139"/>
      <c r="N8" s="139"/>
      <c r="O8" s="139"/>
      <c r="P8" s="139"/>
      <c r="Q8" s="136">
        <f t="shared" si="1"/>
        <v>0</v>
      </c>
    </row>
    <row r="9" ht="24.75" customHeight="1" spans="1:17">
      <c r="A9" s="129"/>
      <c r="B9" s="121" t="s">
        <v>169</v>
      </c>
      <c r="C9" s="130"/>
      <c r="D9" s="130"/>
      <c r="E9" s="130">
        <f t="shared" si="0"/>
        <v>0</v>
      </c>
      <c r="F9" s="130"/>
      <c r="G9" s="131"/>
      <c r="H9" s="132"/>
      <c r="I9" s="131"/>
      <c r="J9" s="132"/>
      <c r="K9" s="131"/>
      <c r="L9" s="139"/>
      <c r="M9" s="139"/>
      <c r="N9" s="139"/>
      <c r="O9" s="139"/>
      <c r="P9" s="139"/>
      <c r="Q9" s="136">
        <f t="shared" si="1"/>
        <v>0</v>
      </c>
    </row>
    <row r="10" ht="24.75" customHeight="1" spans="1:17">
      <c r="A10" s="129"/>
      <c r="B10" s="133" t="s">
        <v>170</v>
      </c>
      <c r="C10" s="130">
        <f>四川现代1!F16</f>
        <v>47082.4146</v>
      </c>
      <c r="D10" s="130">
        <f>四川现代1!G16</f>
        <v>0</v>
      </c>
      <c r="E10" s="130">
        <f t="shared" si="0"/>
        <v>47082.4146</v>
      </c>
      <c r="F10" s="130">
        <f>四川现代1!L5</f>
        <v>742799.12</v>
      </c>
      <c r="G10" s="131">
        <v>0</v>
      </c>
      <c r="H10" s="132" t="s">
        <v>171</v>
      </c>
      <c r="I10" s="131">
        <f>四川现代1!Q16</f>
        <v>597930.6741</v>
      </c>
      <c r="J10" s="140" t="s">
        <v>172</v>
      </c>
      <c r="K10" s="131">
        <f>四川现代1!S16</f>
        <v>150000</v>
      </c>
      <c r="L10" s="139"/>
      <c r="M10" s="139"/>
      <c r="N10" s="139"/>
      <c r="O10" s="139"/>
      <c r="P10" s="139"/>
      <c r="Q10" s="136">
        <f t="shared" si="1"/>
        <v>592799.12</v>
      </c>
    </row>
    <row r="11" ht="24.75" customHeight="1" spans="1:17">
      <c r="A11" s="129"/>
      <c r="B11" s="133" t="s">
        <v>173</v>
      </c>
      <c r="C11" s="130">
        <f>四川DYMOS!G11</f>
        <v>94376.1312</v>
      </c>
      <c r="D11" s="130">
        <f>四川DYMOS!H11</f>
        <v>0</v>
      </c>
      <c r="E11" s="130">
        <f t="shared" si="0"/>
        <v>94376.1312</v>
      </c>
      <c r="F11" s="130">
        <f>四川DYMOS!M5</f>
        <v>2763948.07</v>
      </c>
      <c r="G11" s="131"/>
      <c r="H11" s="132"/>
      <c r="I11" s="131"/>
      <c r="J11" s="132"/>
      <c r="K11" s="131"/>
      <c r="L11" s="139"/>
      <c r="M11" s="139"/>
      <c r="N11" s="139"/>
      <c r="O11" s="139"/>
      <c r="P11" s="139"/>
      <c r="Q11" s="136">
        <f t="shared" si="1"/>
        <v>2763948.07</v>
      </c>
    </row>
    <row r="12" s="118" customFormat="1" ht="24.75" customHeight="1" spans="1:17">
      <c r="A12" s="134"/>
      <c r="B12" s="135" t="s">
        <v>28</v>
      </c>
      <c r="C12" s="136">
        <f t="shared" ref="C12:F12" si="2">SUM(C6:C11)</f>
        <v>141458.5458</v>
      </c>
      <c r="D12" s="136">
        <f t="shared" si="2"/>
        <v>0</v>
      </c>
      <c r="E12" s="136">
        <f t="shared" si="2"/>
        <v>141458.5458</v>
      </c>
      <c r="F12" s="136">
        <f t="shared" si="2"/>
        <v>3506747.19</v>
      </c>
      <c r="G12" s="137">
        <f t="shared" ref="G12:K12" si="3">SUM(G6,G7,G8,G9,G10,G11)</f>
        <v>0</v>
      </c>
      <c r="H12" s="126"/>
      <c r="I12" s="137">
        <f t="shared" si="3"/>
        <v>597930.6741</v>
      </c>
      <c r="J12" s="126"/>
      <c r="K12" s="137">
        <f t="shared" si="3"/>
        <v>150000</v>
      </c>
      <c r="L12" s="141"/>
      <c r="M12" s="141"/>
      <c r="N12" s="141"/>
      <c r="O12" s="141"/>
      <c r="P12" s="141"/>
      <c r="Q12" s="136">
        <f t="shared" si="1"/>
        <v>3356747.19</v>
      </c>
    </row>
    <row r="13" ht="24.75" customHeight="1" spans="1:17">
      <c r="A13" s="129" t="s">
        <v>174</v>
      </c>
      <c r="B13" s="121" t="s">
        <v>175</v>
      </c>
      <c r="C13" s="130">
        <f>克拉克1!F15</f>
        <v>2013551.28</v>
      </c>
      <c r="D13" s="130">
        <f>克拉克1!G15</f>
        <v>0</v>
      </c>
      <c r="E13" s="130">
        <f t="shared" ref="E13:E18" si="4">C13-D13</f>
        <v>2013551.28</v>
      </c>
      <c r="F13" s="130">
        <v>9321317.27</v>
      </c>
      <c r="G13" s="131">
        <f>克拉克1!J15</f>
        <v>2013551.28</v>
      </c>
      <c r="H13" s="132" t="s">
        <v>176</v>
      </c>
      <c r="I13" s="131">
        <f>克拉克1!Q15</f>
        <v>3126098.24</v>
      </c>
      <c r="J13" s="132" t="s">
        <v>177</v>
      </c>
      <c r="K13" s="131">
        <f>克拉克1!S15</f>
        <v>2609314.89</v>
      </c>
      <c r="L13" s="139"/>
      <c r="M13" s="139"/>
      <c r="N13" s="139"/>
      <c r="O13" s="139"/>
      <c r="P13" s="139"/>
      <c r="Q13" s="136">
        <f t="shared" si="1"/>
        <v>8725553.66</v>
      </c>
    </row>
    <row r="14" ht="24.75" customHeight="1" spans="1:17">
      <c r="A14" s="129"/>
      <c r="B14" s="121" t="s">
        <v>178</v>
      </c>
      <c r="C14" s="130"/>
      <c r="D14" s="130"/>
      <c r="E14" s="130">
        <f t="shared" si="4"/>
        <v>0</v>
      </c>
      <c r="F14" s="130"/>
      <c r="G14" s="131"/>
      <c r="H14" s="132"/>
      <c r="I14" s="131"/>
      <c r="J14" s="132"/>
      <c r="K14" s="131"/>
      <c r="L14" s="139"/>
      <c r="M14" s="139"/>
      <c r="N14" s="139"/>
      <c r="O14" s="139"/>
      <c r="P14" s="139"/>
      <c r="Q14" s="136">
        <f t="shared" si="1"/>
        <v>0</v>
      </c>
    </row>
    <row r="15" s="118" customFormat="1" ht="24.75" customHeight="1" spans="1:17">
      <c r="A15" s="134"/>
      <c r="B15" s="135" t="s">
        <v>28</v>
      </c>
      <c r="C15" s="136">
        <f t="shared" ref="C15:F15" si="5">SUM(C13:C14)</f>
        <v>2013551.28</v>
      </c>
      <c r="D15" s="136">
        <f t="shared" si="5"/>
        <v>0</v>
      </c>
      <c r="E15" s="136">
        <f t="shared" si="5"/>
        <v>2013551.28</v>
      </c>
      <c r="F15" s="136">
        <f t="shared" si="5"/>
        <v>9321317.27</v>
      </c>
      <c r="G15" s="137">
        <f t="shared" ref="G15:K15" si="6">SUM(G13,G14)</f>
        <v>2013551.28</v>
      </c>
      <c r="H15" s="126"/>
      <c r="I15" s="137">
        <f t="shared" si="6"/>
        <v>3126098.24</v>
      </c>
      <c r="J15" s="126"/>
      <c r="K15" s="137">
        <f t="shared" si="6"/>
        <v>2609314.89</v>
      </c>
      <c r="L15" s="141"/>
      <c r="M15" s="141"/>
      <c r="N15" s="141"/>
      <c r="O15" s="141"/>
      <c r="P15" s="141"/>
      <c r="Q15" s="136">
        <f t="shared" si="1"/>
        <v>8725553.66</v>
      </c>
    </row>
    <row r="16" ht="24.75" customHeight="1" spans="1:17">
      <c r="A16" s="129" t="s">
        <v>179</v>
      </c>
      <c r="B16" s="121" t="s">
        <v>26</v>
      </c>
      <c r="C16" s="130"/>
      <c r="D16" s="130"/>
      <c r="E16" s="130">
        <f t="shared" si="4"/>
        <v>0</v>
      </c>
      <c r="F16" s="130"/>
      <c r="G16" s="131"/>
      <c r="H16" s="132"/>
      <c r="I16" s="131"/>
      <c r="J16" s="132"/>
      <c r="K16" s="131"/>
      <c r="L16" s="139"/>
      <c r="M16" s="139"/>
      <c r="N16" s="139"/>
      <c r="O16" s="139"/>
      <c r="P16" s="139"/>
      <c r="Q16" s="136">
        <f t="shared" si="1"/>
        <v>0</v>
      </c>
    </row>
    <row r="17" ht="24.75" customHeight="1" spans="1:17">
      <c r="A17" s="129"/>
      <c r="B17" s="121" t="s">
        <v>180</v>
      </c>
      <c r="C17" s="130"/>
      <c r="D17" s="130"/>
      <c r="E17" s="130">
        <f t="shared" si="4"/>
        <v>0</v>
      </c>
      <c r="F17" s="130"/>
      <c r="G17" s="131"/>
      <c r="H17" s="132"/>
      <c r="I17" s="131"/>
      <c r="J17" s="132"/>
      <c r="K17" s="131"/>
      <c r="L17" s="139"/>
      <c r="M17" s="139"/>
      <c r="N17" s="139"/>
      <c r="O17" s="139"/>
      <c r="P17" s="139"/>
      <c r="Q17" s="136">
        <f t="shared" si="1"/>
        <v>0</v>
      </c>
    </row>
    <row r="18" ht="24.75" customHeight="1" spans="1:17">
      <c r="A18" s="129"/>
      <c r="B18" s="121" t="s">
        <v>181</v>
      </c>
      <c r="C18" s="130"/>
      <c r="D18" s="130"/>
      <c r="E18" s="130">
        <f t="shared" si="4"/>
        <v>0</v>
      </c>
      <c r="F18" s="130"/>
      <c r="G18" s="131"/>
      <c r="H18" s="132"/>
      <c r="I18" s="131"/>
      <c r="J18" s="132"/>
      <c r="K18" s="131"/>
      <c r="L18" s="139"/>
      <c r="M18" s="139"/>
      <c r="N18" s="139"/>
      <c r="O18" s="139"/>
      <c r="P18" s="139"/>
      <c r="Q18" s="136">
        <f t="shared" si="1"/>
        <v>0</v>
      </c>
    </row>
    <row r="19" s="118" customFormat="1" ht="24.75" customHeight="1" spans="1:17">
      <c r="A19" s="134"/>
      <c r="B19" s="135" t="s">
        <v>28</v>
      </c>
      <c r="C19" s="136">
        <f t="shared" ref="C19:F19" si="7">SUM(C16:C18)</f>
        <v>0</v>
      </c>
      <c r="D19" s="136">
        <f t="shared" si="7"/>
        <v>0</v>
      </c>
      <c r="E19" s="136">
        <f t="shared" si="7"/>
        <v>0</v>
      </c>
      <c r="F19" s="136">
        <f t="shared" si="7"/>
        <v>0</v>
      </c>
      <c r="G19" s="137">
        <f t="shared" ref="G19:K19" si="8">SUM(G16,G17,G18)</f>
        <v>0</v>
      </c>
      <c r="H19" s="126"/>
      <c r="I19" s="137">
        <f t="shared" si="8"/>
        <v>0</v>
      </c>
      <c r="J19" s="126"/>
      <c r="K19" s="137">
        <f t="shared" si="8"/>
        <v>0</v>
      </c>
      <c r="L19" s="141"/>
      <c r="M19" s="141"/>
      <c r="N19" s="141"/>
      <c r="O19" s="141"/>
      <c r="P19" s="141"/>
      <c r="Q19" s="136">
        <f t="shared" si="1"/>
        <v>0</v>
      </c>
    </row>
    <row r="20" s="118" customFormat="1" ht="24.75" customHeight="1" spans="1:17">
      <c r="A20" s="120" t="s">
        <v>182</v>
      </c>
      <c r="B20" s="120"/>
      <c r="C20" s="136">
        <f t="shared" ref="C20:G20" si="9">SUM(C12,C15,C19)</f>
        <v>2155009.8258</v>
      </c>
      <c r="D20" s="136">
        <f t="shared" si="9"/>
        <v>0</v>
      </c>
      <c r="E20" s="136">
        <f t="shared" si="9"/>
        <v>2155009.8258</v>
      </c>
      <c r="F20" s="136">
        <f t="shared" si="9"/>
        <v>12828064.46</v>
      </c>
      <c r="G20" s="137">
        <f t="shared" si="9"/>
        <v>2013551.28</v>
      </c>
      <c r="H20" s="126"/>
      <c r="I20" s="137"/>
      <c r="J20" s="126"/>
      <c r="K20" s="137"/>
      <c r="L20" s="141"/>
      <c r="M20" s="141"/>
      <c r="N20" s="141"/>
      <c r="O20" s="141"/>
      <c r="P20" s="141"/>
      <c r="Q20" s="136">
        <f t="shared" si="1"/>
        <v>14841615.74</v>
      </c>
    </row>
    <row r="21" s="118" customFormat="1" ht="24.75" customHeight="1" spans="1:17">
      <c r="A21" s="120"/>
      <c r="B21" s="120"/>
      <c r="C21" s="136"/>
      <c r="D21" s="136"/>
      <c r="E21" s="136"/>
      <c r="F21" s="136"/>
      <c r="G21" s="126"/>
      <c r="H21" s="125" t="s">
        <v>183</v>
      </c>
      <c r="I21" s="125"/>
      <c r="J21" s="125" t="s">
        <v>37</v>
      </c>
      <c r="K21" s="142">
        <f>K20-I20</f>
        <v>0</v>
      </c>
      <c r="L21" s="125" t="s">
        <v>10</v>
      </c>
      <c r="M21" s="141"/>
      <c r="N21" s="141"/>
      <c r="O21" s="141"/>
      <c r="P21" s="141"/>
      <c r="Q21" s="125"/>
    </row>
    <row r="22" spans="1:17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</row>
    <row r="23" spans="1:17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1:17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1:17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1:17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</row>
    <row r="27" spans="1:17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</row>
    <row r="28" spans="1:17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</row>
    <row r="29" spans="1:17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</row>
    <row r="30" spans="1:17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spans="1:17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1:17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</row>
    <row r="33" spans="1:17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</row>
    <row r="34" spans="1:17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</row>
    <row r="35" spans="1:17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</sheetData>
  <mergeCells count="21">
    <mergeCell ref="C3:E3"/>
    <mergeCell ref="F3:Q3"/>
    <mergeCell ref="H4:K4"/>
    <mergeCell ref="L4:P4"/>
    <mergeCell ref="A3:A5"/>
    <mergeCell ref="A6:A12"/>
    <mergeCell ref="A13:A15"/>
    <mergeCell ref="A16:A19"/>
    <mergeCell ref="B3:B5"/>
    <mergeCell ref="C4:C5"/>
    <mergeCell ref="C20:C21"/>
    <mergeCell ref="D4:D5"/>
    <mergeCell ref="D20:D21"/>
    <mergeCell ref="E4:E5"/>
    <mergeCell ref="E20:E21"/>
    <mergeCell ref="F4:F5"/>
    <mergeCell ref="F20:F21"/>
    <mergeCell ref="G4:G5"/>
    <mergeCell ref="Q4:Q5"/>
    <mergeCell ref="Q20:Q21"/>
    <mergeCell ref="A20:B21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AB18"/>
  <sheetViews>
    <sheetView zoomScale="90" zoomScaleNormal="90" workbookViewId="0">
      <pane xSplit="3" ySplit="4" topLeftCell="D5" activePane="bottomRight" state="frozen"/>
      <selection/>
      <selection pane="topRight"/>
      <selection pane="bottomLeft"/>
      <selection pane="bottomRight" activeCell="E19" sqref="E19"/>
    </sheetView>
  </sheetViews>
  <sheetFormatPr defaultColWidth="9" defaultRowHeight="14.25"/>
  <cols>
    <col min="1" max="1" width="7.5" customWidth="1"/>
    <col min="2" max="2" width="12.75" customWidth="1"/>
    <col min="3" max="3" width="20.25" customWidth="1"/>
    <col min="4" max="4" width="12.75" customWidth="1"/>
    <col min="5" max="5" width="9.5" customWidth="1"/>
    <col min="6" max="6" width="17.125" customWidth="1"/>
    <col min="7" max="7" width="9.5" customWidth="1"/>
    <col min="8" max="8" width="17.25" customWidth="1"/>
    <col min="9" max="9" width="14.75" customWidth="1"/>
    <col min="10" max="10" width="17.25" customWidth="1"/>
    <col min="11" max="11" width="9.5" customWidth="1"/>
    <col min="12" max="12" width="17.25" customWidth="1"/>
    <col min="13" max="13" width="10.5" customWidth="1"/>
    <col min="14" max="14" width="17" customWidth="1"/>
    <col min="15" max="15" width="11.75" customWidth="1"/>
    <col min="16" max="16" width="10.5" customWidth="1"/>
    <col min="17" max="17" width="17.25" customWidth="1"/>
    <col min="18" max="18" width="10.5" customWidth="1"/>
    <col min="19" max="20" width="17.25" customWidth="1"/>
    <col min="21" max="21" width="19.375" customWidth="1"/>
    <col min="22" max="27" width="10.5" customWidth="1"/>
    <col min="28" max="28" width="17.25" customWidth="1"/>
  </cols>
  <sheetData>
    <row r="1" ht="60.75" customHeight="1" spans="1:18">
      <c r="A1" s="2" t="s">
        <v>184</v>
      </c>
      <c r="Q1" s="72"/>
      <c r="R1" s="72"/>
    </row>
    <row r="2" s="1" customFormat="1" ht="47.25" customHeight="1" spans="1:28">
      <c r="A2" s="3" t="s">
        <v>185</v>
      </c>
      <c r="B2" s="4" t="s">
        <v>186</v>
      </c>
      <c r="C2" s="5"/>
      <c r="D2" s="5"/>
      <c r="E2" s="5"/>
      <c r="F2" s="5"/>
      <c r="G2" s="6"/>
      <c r="H2" s="4" t="s">
        <v>187</v>
      </c>
      <c r="I2" s="5"/>
      <c r="J2" s="5"/>
      <c r="K2" s="6"/>
      <c r="L2" s="28" t="s">
        <v>188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96"/>
    </row>
    <row r="3" ht="19.5" customHeight="1" spans="1:28">
      <c r="A3" s="7">
        <v>2016.1</v>
      </c>
      <c r="B3" s="8" t="s">
        <v>108</v>
      </c>
      <c r="C3" s="9" t="s">
        <v>189</v>
      </c>
      <c r="D3" s="10" t="s">
        <v>190</v>
      </c>
      <c r="E3" s="9" t="s">
        <v>191</v>
      </c>
      <c r="F3" s="9" t="s">
        <v>192</v>
      </c>
      <c r="G3" s="11" t="s">
        <v>193</v>
      </c>
      <c r="H3" s="30" t="s">
        <v>194</v>
      </c>
      <c r="I3" s="31"/>
      <c r="J3" s="32" t="s">
        <v>28</v>
      </c>
      <c r="K3" s="33" t="s">
        <v>195</v>
      </c>
      <c r="L3" s="34" t="s">
        <v>196</v>
      </c>
      <c r="M3" s="35" t="s">
        <v>156</v>
      </c>
      <c r="N3" s="36"/>
      <c r="O3" s="37"/>
      <c r="P3" s="73" t="s">
        <v>157</v>
      </c>
      <c r="Q3" s="74"/>
      <c r="R3" s="74"/>
      <c r="S3" s="74"/>
      <c r="T3" s="74"/>
      <c r="U3" s="75"/>
      <c r="V3" s="73" t="s">
        <v>158</v>
      </c>
      <c r="W3" s="74"/>
      <c r="X3" s="74"/>
      <c r="Y3" s="74"/>
      <c r="Z3" s="74"/>
      <c r="AA3" s="75"/>
      <c r="AB3" s="97" t="s">
        <v>38</v>
      </c>
    </row>
    <row r="4" ht="28.5" customHeight="1" spans="1:28">
      <c r="A4" s="12"/>
      <c r="B4" s="13"/>
      <c r="C4" s="9"/>
      <c r="D4" s="14"/>
      <c r="E4" s="9"/>
      <c r="F4" s="9"/>
      <c r="G4" s="11"/>
      <c r="H4" s="38">
        <v>42019</v>
      </c>
      <c r="I4" s="39">
        <v>42394</v>
      </c>
      <c r="J4" s="40"/>
      <c r="K4" s="41"/>
      <c r="L4" s="42"/>
      <c r="M4" s="43" t="s">
        <v>194</v>
      </c>
      <c r="N4" s="43" t="s">
        <v>113</v>
      </c>
      <c r="O4" s="43" t="s">
        <v>35</v>
      </c>
      <c r="P4" s="43" t="s">
        <v>33</v>
      </c>
      <c r="Q4" s="43" t="s">
        <v>197</v>
      </c>
      <c r="R4" s="43" t="s">
        <v>35</v>
      </c>
      <c r="S4" s="43" t="s">
        <v>198</v>
      </c>
      <c r="T4" s="43" t="s">
        <v>37</v>
      </c>
      <c r="U4" s="43" t="s">
        <v>10</v>
      </c>
      <c r="V4" s="43" t="s">
        <v>161</v>
      </c>
      <c r="W4" s="43" t="s">
        <v>113</v>
      </c>
      <c r="X4" s="43" t="s">
        <v>162</v>
      </c>
      <c r="Y4" s="43" t="s">
        <v>163</v>
      </c>
      <c r="Z4" s="43" t="s">
        <v>164</v>
      </c>
      <c r="AA4" s="43" t="s">
        <v>10</v>
      </c>
      <c r="AB4" s="98"/>
    </row>
    <row r="5" ht="28.5" customHeight="1" spans="1:28">
      <c r="A5" s="12"/>
      <c r="B5" s="8" t="s">
        <v>199</v>
      </c>
      <c r="C5" s="10" t="s">
        <v>200</v>
      </c>
      <c r="D5" s="16">
        <v>14164.02</v>
      </c>
      <c r="E5" s="17"/>
      <c r="F5" s="17"/>
      <c r="G5" s="18"/>
      <c r="H5" s="44"/>
      <c r="I5" s="45"/>
      <c r="J5" s="45">
        <f t="shared" ref="J5:J13" si="0">SUM(H5:I5)</f>
        <v>0</v>
      </c>
      <c r="K5" s="46">
        <f t="shared" ref="K5:K13" si="1">E5+F5-G5-J5</f>
        <v>0</v>
      </c>
      <c r="L5" s="47">
        <v>9321317.27</v>
      </c>
      <c r="M5" s="48"/>
      <c r="N5" s="49"/>
      <c r="O5" s="50"/>
      <c r="P5" s="77" t="s">
        <v>201</v>
      </c>
      <c r="Q5" s="49">
        <v>411107.35</v>
      </c>
      <c r="R5" s="48"/>
      <c r="S5" s="49"/>
      <c r="T5" s="78"/>
      <c r="U5" s="80"/>
      <c r="V5" s="48"/>
      <c r="W5" s="49"/>
      <c r="X5" s="99"/>
      <c r="Y5" s="100"/>
      <c r="Z5" s="49"/>
      <c r="AA5" s="99"/>
      <c r="AB5" s="101">
        <f>L5</f>
        <v>9321317.27</v>
      </c>
    </row>
    <row r="6" ht="28.5" customHeight="1" spans="1:28">
      <c r="A6" s="12"/>
      <c r="B6" s="8" t="s">
        <v>202</v>
      </c>
      <c r="C6" s="10" t="s">
        <v>203</v>
      </c>
      <c r="D6" s="16">
        <v>14045.85</v>
      </c>
      <c r="E6" s="17"/>
      <c r="F6" s="17"/>
      <c r="G6" s="18"/>
      <c r="H6" s="44"/>
      <c r="I6" s="45"/>
      <c r="J6" s="45">
        <f t="shared" si="0"/>
        <v>0</v>
      </c>
      <c r="K6" s="46">
        <f t="shared" si="1"/>
        <v>0</v>
      </c>
      <c r="L6" s="51"/>
      <c r="M6" s="55">
        <v>42384</v>
      </c>
      <c r="N6" s="56">
        <f>H15</f>
        <v>1163706.57</v>
      </c>
      <c r="O6" s="57">
        <f>M6+90</f>
        <v>42474</v>
      </c>
      <c r="P6" s="55">
        <v>42292</v>
      </c>
      <c r="Q6" s="56">
        <v>892815.67</v>
      </c>
      <c r="R6" s="55">
        <v>42384</v>
      </c>
      <c r="S6" s="56">
        <v>809707.67</v>
      </c>
      <c r="T6" s="91">
        <f>S6-Q6</f>
        <v>-83108</v>
      </c>
      <c r="U6" s="89" t="s">
        <v>204</v>
      </c>
      <c r="V6" s="55"/>
      <c r="W6" s="56"/>
      <c r="X6" s="104"/>
      <c r="Y6" s="105"/>
      <c r="Z6" s="56"/>
      <c r="AA6" s="104"/>
      <c r="AB6" s="101">
        <f>AB5+N6-S6-Z6</f>
        <v>9675316.17</v>
      </c>
    </row>
    <row r="7" ht="28.5" customHeight="1" spans="1:28">
      <c r="A7" s="12"/>
      <c r="B7" s="8" t="s">
        <v>205</v>
      </c>
      <c r="C7" s="10" t="s">
        <v>206</v>
      </c>
      <c r="D7" s="16">
        <v>14174.55</v>
      </c>
      <c r="E7" s="17"/>
      <c r="F7" s="17"/>
      <c r="G7" s="18"/>
      <c r="H7" s="44"/>
      <c r="I7" s="45"/>
      <c r="J7" s="45">
        <f t="shared" si="0"/>
        <v>0</v>
      </c>
      <c r="K7" s="46">
        <f t="shared" si="1"/>
        <v>0</v>
      </c>
      <c r="L7" s="51"/>
      <c r="M7" s="55">
        <v>42394</v>
      </c>
      <c r="N7" s="56">
        <f>I15</f>
        <v>849844.71</v>
      </c>
      <c r="O7" s="57">
        <f>M7+90</f>
        <v>42484</v>
      </c>
      <c r="P7" s="55">
        <v>42307</v>
      </c>
      <c r="Q7" s="56">
        <v>1822175.22</v>
      </c>
      <c r="R7" s="55">
        <v>42398</v>
      </c>
      <c r="S7" s="56">
        <v>1799607.22</v>
      </c>
      <c r="T7" s="91">
        <f>S7-Q7</f>
        <v>-22568</v>
      </c>
      <c r="U7" s="89" t="s">
        <v>204</v>
      </c>
      <c r="V7" s="55"/>
      <c r="W7" s="56"/>
      <c r="X7" s="104"/>
      <c r="Y7" s="105"/>
      <c r="Z7" s="56"/>
      <c r="AA7" s="104"/>
      <c r="AB7" s="101">
        <f t="shared" ref="AB7:AB14" si="2">AB6+N7-S7-Z7</f>
        <v>8725553.66</v>
      </c>
    </row>
    <row r="8" ht="28.5" customHeight="1" spans="1:28">
      <c r="A8" s="12"/>
      <c r="B8" s="8" t="s">
        <v>207</v>
      </c>
      <c r="C8" s="10" t="s">
        <v>208</v>
      </c>
      <c r="D8" s="16">
        <v>14071.59</v>
      </c>
      <c r="E8" s="17"/>
      <c r="F8" s="17"/>
      <c r="G8" s="18"/>
      <c r="H8" s="44"/>
      <c r="I8" s="45"/>
      <c r="J8" s="45">
        <f t="shared" si="0"/>
        <v>0</v>
      </c>
      <c r="K8" s="46">
        <f t="shared" si="1"/>
        <v>0</v>
      </c>
      <c r="L8" s="51"/>
      <c r="M8" s="55"/>
      <c r="N8" s="56"/>
      <c r="O8" s="57"/>
      <c r="P8" s="55"/>
      <c r="Q8" s="56"/>
      <c r="R8" s="55"/>
      <c r="S8" s="56"/>
      <c r="T8" s="90"/>
      <c r="U8" s="104"/>
      <c r="V8" s="55"/>
      <c r="W8" s="56"/>
      <c r="X8" s="104"/>
      <c r="Y8" s="105"/>
      <c r="Z8" s="56"/>
      <c r="AA8" s="104"/>
      <c r="AB8" s="101">
        <f t="shared" si="2"/>
        <v>8725553.66</v>
      </c>
    </row>
    <row r="9" ht="28.5" customHeight="1" spans="1:28">
      <c r="A9" s="12"/>
      <c r="B9" s="8" t="s">
        <v>209</v>
      </c>
      <c r="C9" s="10" t="s">
        <v>210</v>
      </c>
      <c r="D9" s="16">
        <v>14628.51</v>
      </c>
      <c r="E9" s="17"/>
      <c r="F9" s="17">
        <f>14+9</f>
        <v>23</v>
      </c>
      <c r="G9" s="18"/>
      <c r="H9" s="44">
        <v>14</v>
      </c>
      <c r="I9" s="45">
        <v>9</v>
      </c>
      <c r="J9" s="45">
        <f t="shared" si="0"/>
        <v>23</v>
      </c>
      <c r="K9" s="46">
        <f t="shared" si="1"/>
        <v>0</v>
      </c>
      <c r="L9" s="51"/>
      <c r="M9" s="55"/>
      <c r="N9" s="56"/>
      <c r="O9" s="57"/>
      <c r="P9" s="55"/>
      <c r="Q9" s="56"/>
      <c r="R9" s="55"/>
      <c r="S9" s="56"/>
      <c r="T9" s="90"/>
      <c r="U9" s="104"/>
      <c r="V9" s="55"/>
      <c r="W9" s="56"/>
      <c r="X9" s="104"/>
      <c r="Y9" s="105"/>
      <c r="Z9" s="56"/>
      <c r="AA9" s="104"/>
      <c r="AB9" s="101">
        <f t="shared" si="2"/>
        <v>8725553.66</v>
      </c>
    </row>
    <row r="10" ht="28.5" customHeight="1" spans="1:28">
      <c r="A10" s="12"/>
      <c r="B10" s="8" t="s">
        <v>211</v>
      </c>
      <c r="C10" s="10" t="s">
        <v>212</v>
      </c>
      <c r="D10" s="16">
        <v>14082.12</v>
      </c>
      <c r="E10" s="17"/>
      <c r="F10" s="17">
        <f>65+51</f>
        <v>116</v>
      </c>
      <c r="G10" s="18"/>
      <c r="H10" s="44">
        <v>65</v>
      </c>
      <c r="I10" s="45">
        <v>51</v>
      </c>
      <c r="J10" s="45">
        <f t="shared" si="0"/>
        <v>116</v>
      </c>
      <c r="K10" s="46">
        <f t="shared" si="1"/>
        <v>0</v>
      </c>
      <c r="L10" s="51"/>
      <c r="M10" s="55"/>
      <c r="N10" s="56"/>
      <c r="O10" s="57"/>
      <c r="P10" s="55"/>
      <c r="Q10" s="56"/>
      <c r="R10" s="55"/>
      <c r="S10" s="56"/>
      <c r="T10" s="90"/>
      <c r="U10" s="104"/>
      <c r="V10" s="55"/>
      <c r="W10" s="56"/>
      <c r="X10" s="104"/>
      <c r="Y10" s="105"/>
      <c r="Z10" s="56"/>
      <c r="AA10" s="104"/>
      <c r="AB10" s="101">
        <f t="shared" si="2"/>
        <v>8725553.66</v>
      </c>
    </row>
    <row r="11" ht="28.5" customHeight="1" spans="1:28">
      <c r="A11" s="12"/>
      <c r="B11" s="8" t="s">
        <v>213</v>
      </c>
      <c r="C11" s="10" t="s">
        <v>214</v>
      </c>
      <c r="D11" s="16">
        <v>14523.21</v>
      </c>
      <c r="E11" s="17"/>
      <c r="F11" s="17">
        <v>3</v>
      </c>
      <c r="G11" s="18"/>
      <c r="H11" s="44">
        <v>3</v>
      </c>
      <c r="I11" s="45"/>
      <c r="J11" s="45">
        <f t="shared" si="0"/>
        <v>3</v>
      </c>
      <c r="K11" s="46">
        <f t="shared" si="1"/>
        <v>0</v>
      </c>
      <c r="L11" s="51"/>
      <c r="M11" s="55"/>
      <c r="N11" s="56"/>
      <c r="O11" s="57"/>
      <c r="P11" s="55"/>
      <c r="Q11" s="56"/>
      <c r="R11" s="55"/>
      <c r="S11" s="56"/>
      <c r="T11" s="90"/>
      <c r="U11" s="104"/>
      <c r="V11" s="55"/>
      <c r="W11" s="56"/>
      <c r="X11" s="104"/>
      <c r="Y11" s="105"/>
      <c r="Z11" s="56"/>
      <c r="AA11" s="104"/>
      <c r="AB11" s="101">
        <f t="shared" si="2"/>
        <v>8725553.66</v>
      </c>
    </row>
    <row r="12" ht="28.5" customHeight="1" spans="1:28">
      <c r="A12" s="12"/>
      <c r="B12" s="8" t="s">
        <v>215</v>
      </c>
      <c r="C12" s="10" t="s">
        <v>216</v>
      </c>
      <c r="D12" s="16">
        <v>13977.99</v>
      </c>
      <c r="E12" s="17"/>
      <c r="F12" s="17"/>
      <c r="G12" s="18"/>
      <c r="H12" s="44"/>
      <c r="I12" s="45"/>
      <c r="J12" s="45">
        <f t="shared" si="0"/>
        <v>0</v>
      </c>
      <c r="K12" s="46">
        <f t="shared" si="1"/>
        <v>0</v>
      </c>
      <c r="L12" s="51"/>
      <c r="M12" s="55"/>
      <c r="N12" s="56"/>
      <c r="O12" s="57"/>
      <c r="P12" s="55"/>
      <c r="Q12" s="56"/>
      <c r="R12" s="55"/>
      <c r="S12" s="56"/>
      <c r="T12" s="90"/>
      <c r="U12" s="104"/>
      <c r="V12" s="55"/>
      <c r="W12" s="56"/>
      <c r="X12" s="104"/>
      <c r="Y12" s="105"/>
      <c r="Z12" s="56"/>
      <c r="AA12" s="104"/>
      <c r="AB12" s="101">
        <f t="shared" si="2"/>
        <v>8725553.66</v>
      </c>
    </row>
    <row r="13" ht="28.5" customHeight="1" spans="1:28">
      <c r="A13" s="12"/>
      <c r="B13" s="8" t="s">
        <v>217</v>
      </c>
      <c r="C13" s="10" t="s">
        <v>218</v>
      </c>
      <c r="D13" s="16">
        <v>14671.8</v>
      </c>
      <c r="E13" s="17"/>
      <c r="F13" s="17"/>
      <c r="G13" s="18"/>
      <c r="H13" s="44"/>
      <c r="I13" s="45"/>
      <c r="J13" s="45">
        <f t="shared" si="0"/>
        <v>0</v>
      </c>
      <c r="K13" s="46">
        <f t="shared" si="1"/>
        <v>0</v>
      </c>
      <c r="L13" s="51"/>
      <c r="M13" s="55"/>
      <c r="N13" s="56"/>
      <c r="O13" s="57"/>
      <c r="P13" s="55"/>
      <c r="Q13" s="56"/>
      <c r="R13" s="55"/>
      <c r="S13" s="56"/>
      <c r="T13" s="90"/>
      <c r="U13" s="104"/>
      <c r="V13" s="55"/>
      <c r="W13" s="56"/>
      <c r="X13" s="104"/>
      <c r="Y13" s="105"/>
      <c r="Z13" s="56"/>
      <c r="AA13" s="104"/>
      <c r="AB13" s="101">
        <f t="shared" si="2"/>
        <v>8725553.66</v>
      </c>
    </row>
    <row r="14" ht="28.5" customHeight="1" spans="1:28">
      <c r="A14" s="12"/>
      <c r="B14" s="7" t="s">
        <v>28</v>
      </c>
      <c r="C14" s="19"/>
      <c r="D14" s="9" t="s">
        <v>94</v>
      </c>
      <c r="E14" s="20">
        <f t="shared" ref="E14:K14" si="3">SUM(E5:E13)</f>
        <v>0</v>
      </c>
      <c r="F14" s="20">
        <f t="shared" si="3"/>
        <v>142</v>
      </c>
      <c r="G14" s="21">
        <f t="shared" si="3"/>
        <v>0</v>
      </c>
      <c r="H14" s="58">
        <f t="shared" si="3"/>
        <v>82</v>
      </c>
      <c r="I14" s="59">
        <f t="shared" si="3"/>
        <v>60</v>
      </c>
      <c r="J14" s="60">
        <f t="shared" si="3"/>
        <v>142</v>
      </c>
      <c r="K14" s="61">
        <f t="shared" si="3"/>
        <v>0</v>
      </c>
      <c r="L14" s="62"/>
      <c r="M14" s="63"/>
      <c r="N14" s="64"/>
      <c r="O14" s="65"/>
      <c r="P14" s="63"/>
      <c r="Q14" s="64"/>
      <c r="R14" s="63"/>
      <c r="S14" s="64"/>
      <c r="T14" s="92"/>
      <c r="U14" s="94"/>
      <c r="V14" s="63"/>
      <c r="W14" s="64"/>
      <c r="X14" s="94"/>
      <c r="Y14" s="106"/>
      <c r="Z14" s="64"/>
      <c r="AA14" s="94"/>
      <c r="AB14" s="101">
        <f t="shared" si="2"/>
        <v>8725553.66</v>
      </c>
    </row>
    <row r="15" ht="28.5" customHeight="1" spans="1:28">
      <c r="A15" s="22"/>
      <c r="B15" s="23"/>
      <c r="C15" s="24"/>
      <c r="D15" s="25" t="s">
        <v>113</v>
      </c>
      <c r="E15" s="26">
        <f t="shared" ref="E15:K15" si="4">SUMPRODUCT($D$5:$D$13,E5:E13)</f>
        <v>0</v>
      </c>
      <c r="F15" s="26">
        <f t="shared" si="4"/>
        <v>2013551.28</v>
      </c>
      <c r="G15" s="27">
        <f t="shared" si="4"/>
        <v>0</v>
      </c>
      <c r="H15" s="66">
        <f t="shared" si="4"/>
        <v>1163706.57</v>
      </c>
      <c r="I15" s="67">
        <f t="shared" si="4"/>
        <v>849844.71</v>
      </c>
      <c r="J15" s="67">
        <f t="shared" si="4"/>
        <v>2013551.28</v>
      </c>
      <c r="K15" s="68">
        <f t="shared" si="4"/>
        <v>0</v>
      </c>
      <c r="L15" s="69">
        <f t="shared" ref="L15:Q15" si="5">SUM(L5:L14)</f>
        <v>9321317.27</v>
      </c>
      <c r="M15" s="70"/>
      <c r="N15" s="71">
        <f t="shared" si="5"/>
        <v>2013551.28</v>
      </c>
      <c r="O15" s="71"/>
      <c r="P15" s="70"/>
      <c r="Q15" s="71">
        <f t="shared" si="5"/>
        <v>3126098.24</v>
      </c>
      <c r="R15" s="70"/>
      <c r="S15" s="71">
        <f>SUM(S5:S14)</f>
        <v>2609314.89</v>
      </c>
      <c r="T15" s="95">
        <f>SUM(T5:T14)</f>
        <v>-105676</v>
      </c>
      <c r="U15" s="71"/>
      <c r="V15" s="70"/>
      <c r="W15" s="71"/>
      <c r="X15" s="71"/>
      <c r="Y15" s="71"/>
      <c r="Z15" s="71">
        <f>SUM(Z5:Z14)</f>
        <v>0</v>
      </c>
      <c r="AA15" s="71"/>
      <c r="AB15" s="107">
        <f>L15+N15-S15-Z15</f>
        <v>8725553.66</v>
      </c>
    </row>
    <row r="16" spans="1:28">
      <c r="A16" s="110"/>
      <c r="B16" s="110"/>
      <c r="C16" s="110"/>
      <c r="D16" s="110"/>
      <c r="E16" s="111"/>
      <c r="F16" s="110"/>
      <c r="G16" s="110"/>
      <c r="H16" s="112"/>
      <c r="I16" s="112"/>
      <c r="J16" s="112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>
      <c r="A17" s="110"/>
      <c r="B17" s="110"/>
      <c r="C17" s="110"/>
      <c r="D17" s="110"/>
      <c r="E17" s="110"/>
      <c r="F17" s="110"/>
      <c r="G17" s="110"/>
      <c r="H17" s="113"/>
      <c r="I17" s="113"/>
      <c r="J17" s="113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11">
      <c r="A18" s="110"/>
      <c r="B18" s="110"/>
      <c r="C18" s="110"/>
      <c r="D18" s="110"/>
      <c r="E18" s="110"/>
      <c r="F18" s="110"/>
      <c r="G18" s="110"/>
      <c r="H18" s="113"/>
      <c r="I18" s="113"/>
      <c r="J18" s="113"/>
      <c r="K18" s="113"/>
    </row>
  </sheetData>
  <mergeCells count="20">
    <mergeCell ref="B2:G2"/>
    <mergeCell ref="H2:K2"/>
    <mergeCell ref="L2:AB2"/>
    <mergeCell ref="H3:I3"/>
    <mergeCell ref="M3:O3"/>
    <mergeCell ref="P3:U3"/>
    <mergeCell ref="V3:AA3"/>
    <mergeCell ref="A3:A15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L5:L14"/>
    <mergeCell ref="AB3:AB4"/>
    <mergeCell ref="B14:C15"/>
  </mergeCells>
  <printOptions horizontalCentered="1"/>
  <pageMargins left="0.118055555555556" right="0.118055555555556" top="0.747916666666667" bottom="0.747916666666667" header="0.314583333333333" footer="0.314583333333333"/>
  <pageSetup paperSize="9" scale="36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AB16"/>
  <sheetViews>
    <sheetView zoomScale="90" zoomScaleNormal="90" workbookViewId="0">
      <selection activeCell="I13" sqref="I13"/>
    </sheetView>
  </sheetViews>
  <sheetFormatPr defaultColWidth="9" defaultRowHeight="14.25"/>
  <cols>
    <col min="2" max="2" width="12.25" customWidth="1"/>
    <col min="3" max="3" width="11.5" customWidth="1"/>
    <col min="4" max="4" width="9.5" customWidth="1"/>
    <col min="5" max="5" width="14.5" customWidth="1"/>
    <col min="6" max="6" width="13.25" customWidth="1"/>
    <col min="7" max="7" width="9.75" customWidth="1"/>
    <col min="11" max="11" width="13.5" customWidth="1"/>
    <col min="12" max="12" width="14.5" customWidth="1"/>
    <col min="13" max="13" width="5.5" customWidth="1"/>
    <col min="14" max="14" width="7.375" customWidth="1"/>
    <col min="15" max="15" width="9.5" customWidth="1"/>
    <col min="16" max="16" width="10.5" customWidth="1"/>
    <col min="17" max="17" width="14.5" customWidth="1"/>
    <col min="18" max="18" width="10.5" customWidth="1"/>
    <col min="19" max="19" width="13.875" customWidth="1"/>
    <col min="20" max="20" width="16" customWidth="1"/>
    <col min="21" max="21" width="8.75" customWidth="1"/>
    <col min="22" max="22" width="9.5" customWidth="1"/>
    <col min="23" max="23" width="5.5" customWidth="1"/>
    <col min="24" max="26" width="9.5" customWidth="1"/>
    <col min="27" max="27" width="5.5" customWidth="1"/>
    <col min="28" max="28" width="14.5" customWidth="1"/>
  </cols>
  <sheetData>
    <row r="1" ht="60.75" customHeight="1" spans="1:18">
      <c r="A1" s="2" t="s">
        <v>219</v>
      </c>
      <c r="Q1" s="72"/>
      <c r="R1" s="72"/>
    </row>
    <row r="2" s="1" customFormat="1" ht="47.25" customHeight="1" spans="1:28">
      <c r="A2" s="3" t="s">
        <v>185</v>
      </c>
      <c r="B2" s="4" t="s">
        <v>186</v>
      </c>
      <c r="C2" s="5"/>
      <c r="D2" s="5"/>
      <c r="E2" s="5"/>
      <c r="F2" s="5"/>
      <c r="G2" s="6"/>
      <c r="H2" s="4" t="s">
        <v>187</v>
      </c>
      <c r="I2" s="5"/>
      <c r="J2" s="5"/>
      <c r="K2" s="6"/>
      <c r="L2" s="28" t="s">
        <v>188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96"/>
    </row>
    <row r="3" ht="19.5" customHeight="1" spans="1:28">
      <c r="A3" s="7">
        <v>2016.1</v>
      </c>
      <c r="B3" s="8" t="s">
        <v>108</v>
      </c>
      <c r="C3" s="9" t="s">
        <v>189</v>
      </c>
      <c r="D3" s="10" t="s">
        <v>190</v>
      </c>
      <c r="E3" s="9" t="s">
        <v>191</v>
      </c>
      <c r="F3" s="9" t="s">
        <v>192</v>
      </c>
      <c r="G3" s="11" t="s">
        <v>193</v>
      </c>
      <c r="H3" s="30" t="s">
        <v>194</v>
      </c>
      <c r="I3" s="31"/>
      <c r="J3" s="32" t="s">
        <v>28</v>
      </c>
      <c r="K3" s="33" t="s">
        <v>195</v>
      </c>
      <c r="L3" s="34" t="s">
        <v>196</v>
      </c>
      <c r="M3" s="35" t="s">
        <v>156</v>
      </c>
      <c r="N3" s="36"/>
      <c r="O3" s="37"/>
      <c r="P3" s="73" t="s">
        <v>157</v>
      </c>
      <c r="Q3" s="74"/>
      <c r="R3" s="74"/>
      <c r="S3" s="74"/>
      <c r="T3" s="74"/>
      <c r="U3" s="75"/>
      <c r="V3" s="73" t="s">
        <v>158</v>
      </c>
      <c r="W3" s="74"/>
      <c r="X3" s="74"/>
      <c r="Y3" s="74"/>
      <c r="Z3" s="74"/>
      <c r="AA3" s="75"/>
      <c r="AB3" s="97" t="s">
        <v>38</v>
      </c>
    </row>
    <row r="4" ht="28.5" customHeight="1" spans="1:28">
      <c r="A4" s="12"/>
      <c r="B4" s="13"/>
      <c r="C4" s="9"/>
      <c r="D4" s="14"/>
      <c r="E4" s="9"/>
      <c r="F4" s="9"/>
      <c r="G4" s="11"/>
      <c r="H4" s="38"/>
      <c r="I4" s="39"/>
      <c r="J4" s="40"/>
      <c r="K4" s="41"/>
      <c r="L4" s="42"/>
      <c r="M4" s="43" t="s">
        <v>194</v>
      </c>
      <c r="N4" s="43" t="s">
        <v>113</v>
      </c>
      <c r="O4" s="43" t="s">
        <v>35</v>
      </c>
      <c r="P4" s="43" t="s">
        <v>33</v>
      </c>
      <c r="Q4" s="73" t="s">
        <v>159</v>
      </c>
      <c r="R4" s="76" t="s">
        <v>35</v>
      </c>
      <c r="S4" s="43" t="s">
        <v>198</v>
      </c>
      <c r="T4" s="43" t="s">
        <v>37</v>
      </c>
      <c r="U4" s="43" t="s">
        <v>10</v>
      </c>
      <c r="V4" s="43" t="s">
        <v>161</v>
      </c>
      <c r="W4" s="43" t="s">
        <v>113</v>
      </c>
      <c r="X4" s="43" t="s">
        <v>162</v>
      </c>
      <c r="Y4" s="43" t="s">
        <v>163</v>
      </c>
      <c r="Z4" s="43" t="s">
        <v>164</v>
      </c>
      <c r="AA4" s="43" t="s">
        <v>10</v>
      </c>
      <c r="AB4" s="98"/>
    </row>
    <row r="5" ht="28.5" customHeight="1" spans="1:28">
      <c r="A5" s="12"/>
      <c r="B5" s="8" t="s">
        <v>220</v>
      </c>
      <c r="C5" s="15" t="s">
        <v>221</v>
      </c>
      <c r="D5" s="16">
        <v>128.4777</v>
      </c>
      <c r="E5" s="17">
        <v>257</v>
      </c>
      <c r="F5" s="17"/>
      <c r="G5" s="18"/>
      <c r="H5" s="44"/>
      <c r="I5" s="45"/>
      <c r="J5" s="45">
        <f t="shared" ref="J5:J14" si="0">SUM(H5:I5)</f>
        <v>0</v>
      </c>
      <c r="K5" s="46">
        <f>E5+F5-G5-J5</f>
        <v>257</v>
      </c>
      <c r="L5" s="47">
        <v>742799.12</v>
      </c>
      <c r="M5" s="48"/>
      <c r="N5" s="49"/>
      <c r="O5" s="50"/>
      <c r="P5" s="77"/>
      <c r="Q5" s="78"/>
      <c r="R5" s="79"/>
      <c r="S5" s="49"/>
      <c r="T5" s="78"/>
      <c r="U5" s="80"/>
      <c r="V5" s="48"/>
      <c r="W5" s="49"/>
      <c r="X5" s="99"/>
      <c r="Y5" s="100"/>
      <c r="Z5" s="49"/>
      <c r="AA5" s="99"/>
      <c r="AB5" s="101">
        <f>L5</f>
        <v>742799.12</v>
      </c>
    </row>
    <row r="6" ht="28.5" customHeight="1" spans="1:28">
      <c r="A6" s="12"/>
      <c r="B6" s="8" t="s">
        <v>222</v>
      </c>
      <c r="C6" s="15" t="s">
        <v>223</v>
      </c>
      <c r="D6" s="16">
        <v>158.1138</v>
      </c>
      <c r="E6" s="17">
        <v>220</v>
      </c>
      <c r="F6" s="17"/>
      <c r="G6" s="18"/>
      <c r="H6" s="44"/>
      <c r="I6" s="45"/>
      <c r="J6" s="45">
        <f t="shared" si="0"/>
        <v>0</v>
      </c>
      <c r="K6" s="46">
        <f t="shared" ref="K6:K14" si="1">E6+F6-G6-J6</f>
        <v>220</v>
      </c>
      <c r="L6" s="51"/>
      <c r="M6" s="52"/>
      <c r="N6" s="53"/>
      <c r="O6" s="54"/>
      <c r="P6" s="86">
        <v>42218</v>
      </c>
      <c r="Q6" s="82">
        <v>155193.63</v>
      </c>
      <c r="R6" s="83">
        <v>42382</v>
      </c>
      <c r="S6" s="53">
        <v>100000</v>
      </c>
      <c r="T6" s="84">
        <f>S6-Q6</f>
        <v>-55193.63</v>
      </c>
      <c r="U6" s="85"/>
      <c r="V6" s="52"/>
      <c r="W6" s="53"/>
      <c r="X6" s="102"/>
      <c r="Y6" s="103"/>
      <c r="Z6" s="53"/>
      <c r="AA6" s="102"/>
      <c r="AB6" s="101">
        <f t="shared" ref="AB6:AB8" si="2">AB5+N6-S6-Z6</f>
        <v>642799.12</v>
      </c>
    </row>
    <row r="7" ht="28.5" customHeight="1" spans="1:28">
      <c r="A7" s="12"/>
      <c r="B7" s="8" t="s">
        <v>224</v>
      </c>
      <c r="C7" s="15" t="s">
        <v>225</v>
      </c>
      <c r="D7" s="16">
        <v>274.8096</v>
      </c>
      <c r="E7" s="17">
        <v>183</v>
      </c>
      <c r="F7" s="17">
        <v>52</v>
      </c>
      <c r="G7" s="18"/>
      <c r="H7" s="44"/>
      <c r="I7" s="45"/>
      <c r="J7" s="45">
        <f t="shared" si="0"/>
        <v>0</v>
      </c>
      <c r="K7" s="46">
        <f t="shared" si="1"/>
        <v>235</v>
      </c>
      <c r="L7" s="51"/>
      <c r="M7" s="52"/>
      <c r="N7" s="53"/>
      <c r="O7" s="54"/>
      <c r="P7" s="86"/>
      <c r="Q7" s="82"/>
      <c r="R7" s="83">
        <v>42396</v>
      </c>
      <c r="S7" s="53">
        <v>50000</v>
      </c>
      <c r="T7" s="87">
        <f>T6+S7-Q7</f>
        <v>-5193.63</v>
      </c>
      <c r="U7" s="85"/>
      <c r="V7" s="52"/>
      <c r="W7" s="53"/>
      <c r="X7" s="102"/>
      <c r="Y7" s="103"/>
      <c r="Z7" s="53"/>
      <c r="AA7" s="102"/>
      <c r="AB7" s="101">
        <f t="shared" si="2"/>
        <v>592799.12</v>
      </c>
    </row>
    <row r="8" ht="28.5" customHeight="1" spans="1:28">
      <c r="A8" s="12"/>
      <c r="B8" s="8" t="s">
        <v>226</v>
      </c>
      <c r="C8" s="15" t="s">
        <v>227</v>
      </c>
      <c r="D8" s="16">
        <v>177.3603</v>
      </c>
      <c r="E8" s="17">
        <v>210</v>
      </c>
      <c r="F8" s="17"/>
      <c r="G8" s="18"/>
      <c r="H8" s="44"/>
      <c r="I8" s="45"/>
      <c r="J8" s="45">
        <f t="shared" si="0"/>
        <v>0</v>
      </c>
      <c r="K8" s="46">
        <f t="shared" si="1"/>
        <v>210</v>
      </c>
      <c r="L8" s="51"/>
      <c r="M8" s="55"/>
      <c r="N8" s="56"/>
      <c r="O8" s="57"/>
      <c r="P8" s="86">
        <v>42272</v>
      </c>
      <c r="Q8" s="82">
        <v>442737.0441</v>
      </c>
      <c r="R8" s="88"/>
      <c r="S8" s="56"/>
      <c r="T8" s="87">
        <f>T7+S8-Q8</f>
        <v>-447930.6741</v>
      </c>
      <c r="U8" s="89"/>
      <c r="V8" s="55"/>
      <c r="W8" s="56"/>
      <c r="X8" s="104"/>
      <c r="Y8" s="105"/>
      <c r="Z8" s="56"/>
      <c r="AA8" s="104"/>
      <c r="AB8" s="101">
        <f t="shared" si="2"/>
        <v>592799.12</v>
      </c>
    </row>
    <row r="9" ht="28.5" customHeight="1" spans="1:28">
      <c r="A9" s="12"/>
      <c r="B9" s="8" t="s">
        <v>228</v>
      </c>
      <c r="C9" s="15" t="s">
        <v>229</v>
      </c>
      <c r="D9" s="16">
        <v>120.6504</v>
      </c>
      <c r="E9" s="17">
        <v>218</v>
      </c>
      <c r="F9" s="17"/>
      <c r="G9" s="18"/>
      <c r="H9" s="44"/>
      <c r="I9" s="45"/>
      <c r="J9" s="45">
        <f t="shared" si="0"/>
        <v>0</v>
      </c>
      <c r="K9" s="46">
        <f t="shared" si="1"/>
        <v>218</v>
      </c>
      <c r="L9" s="51"/>
      <c r="M9" s="55"/>
      <c r="N9" s="56"/>
      <c r="O9" s="57"/>
      <c r="P9" s="55"/>
      <c r="Q9" s="90"/>
      <c r="R9" s="88"/>
      <c r="S9" s="56"/>
      <c r="T9" s="91"/>
      <c r="U9" s="89"/>
      <c r="V9" s="55"/>
      <c r="W9" s="56"/>
      <c r="X9" s="104"/>
      <c r="Y9" s="105"/>
      <c r="Z9" s="56"/>
      <c r="AA9" s="104"/>
      <c r="AB9" s="101">
        <f t="shared" ref="AB9:AB15" si="3">AB8+N9-S9-Z9</f>
        <v>592799.12</v>
      </c>
    </row>
    <row r="10" ht="28.5" customHeight="1" spans="1:28">
      <c r="A10" s="12"/>
      <c r="B10" s="8" t="s">
        <v>230</v>
      </c>
      <c r="C10" s="15" t="s">
        <v>231</v>
      </c>
      <c r="D10" s="16">
        <v>173.7918</v>
      </c>
      <c r="E10" s="17">
        <v>206</v>
      </c>
      <c r="F10" s="17">
        <v>111</v>
      </c>
      <c r="G10" s="18"/>
      <c r="H10" s="44"/>
      <c r="I10" s="45"/>
      <c r="J10" s="45">
        <f t="shared" si="0"/>
        <v>0</v>
      </c>
      <c r="K10" s="46">
        <f t="shared" si="1"/>
        <v>317</v>
      </c>
      <c r="L10" s="51"/>
      <c r="M10" s="55"/>
      <c r="N10" s="56"/>
      <c r="O10" s="57"/>
      <c r="P10" s="55"/>
      <c r="Q10" s="90"/>
      <c r="R10" s="88"/>
      <c r="S10" s="56"/>
      <c r="T10" s="90"/>
      <c r="U10" s="104"/>
      <c r="V10" s="55"/>
      <c r="W10" s="56"/>
      <c r="X10" s="104"/>
      <c r="Y10" s="105"/>
      <c r="Z10" s="56"/>
      <c r="AA10" s="104"/>
      <c r="AB10" s="101">
        <f t="shared" si="3"/>
        <v>592799.12</v>
      </c>
    </row>
    <row r="11" ht="28.5" customHeight="1" spans="1:28">
      <c r="A11" s="12"/>
      <c r="B11" s="8" t="s">
        <v>232</v>
      </c>
      <c r="C11" s="15" t="s">
        <v>233</v>
      </c>
      <c r="D11" s="16">
        <v>49.7718</v>
      </c>
      <c r="E11" s="17">
        <v>191</v>
      </c>
      <c r="F11" s="17"/>
      <c r="G11" s="18"/>
      <c r="H11" s="44"/>
      <c r="I11" s="45"/>
      <c r="J11" s="45">
        <f t="shared" si="0"/>
        <v>0</v>
      </c>
      <c r="K11" s="46">
        <f t="shared" si="1"/>
        <v>191</v>
      </c>
      <c r="L11" s="51"/>
      <c r="M11" s="55"/>
      <c r="N11" s="56"/>
      <c r="O11" s="57"/>
      <c r="P11" s="55"/>
      <c r="Q11" s="90"/>
      <c r="R11" s="88"/>
      <c r="S11" s="56"/>
      <c r="T11" s="90"/>
      <c r="U11" s="104"/>
      <c r="V11" s="55"/>
      <c r="W11" s="56"/>
      <c r="X11" s="104"/>
      <c r="Y11" s="105"/>
      <c r="Z11" s="56"/>
      <c r="AA11" s="104"/>
      <c r="AB11" s="101">
        <f t="shared" si="3"/>
        <v>592799.12</v>
      </c>
    </row>
    <row r="12" ht="28.5" customHeight="1" spans="1:28">
      <c r="A12" s="12"/>
      <c r="B12" s="8" t="s">
        <v>234</v>
      </c>
      <c r="C12" s="15" t="s">
        <v>235</v>
      </c>
      <c r="D12" s="16">
        <v>40.4001</v>
      </c>
      <c r="E12" s="17">
        <v>177</v>
      </c>
      <c r="F12" s="17">
        <v>132</v>
      </c>
      <c r="G12" s="18"/>
      <c r="H12" s="44"/>
      <c r="I12" s="45"/>
      <c r="J12" s="45">
        <f t="shared" si="0"/>
        <v>0</v>
      </c>
      <c r="K12" s="46">
        <f t="shared" si="1"/>
        <v>309</v>
      </c>
      <c r="L12" s="51"/>
      <c r="M12" s="55"/>
      <c r="N12" s="56"/>
      <c r="O12" s="57"/>
      <c r="P12" s="55"/>
      <c r="Q12" s="90"/>
      <c r="R12" s="88"/>
      <c r="S12" s="56"/>
      <c r="T12" s="90"/>
      <c r="U12" s="104"/>
      <c r="V12" s="55"/>
      <c r="W12" s="56"/>
      <c r="X12" s="104"/>
      <c r="Y12" s="105"/>
      <c r="Z12" s="56"/>
      <c r="AA12" s="104"/>
      <c r="AB12" s="101">
        <f t="shared" si="3"/>
        <v>592799.12</v>
      </c>
    </row>
    <row r="13" ht="28.5" customHeight="1" spans="1:28">
      <c r="A13" s="12"/>
      <c r="B13" s="8" t="s">
        <v>236</v>
      </c>
      <c r="C13" s="15" t="s">
        <v>237</v>
      </c>
      <c r="D13" s="16">
        <v>48.6603</v>
      </c>
      <c r="E13" s="17">
        <v>242</v>
      </c>
      <c r="F13" s="17">
        <v>60</v>
      </c>
      <c r="G13" s="18"/>
      <c r="H13" s="44"/>
      <c r="I13" s="45"/>
      <c r="J13" s="45">
        <f t="shared" si="0"/>
        <v>0</v>
      </c>
      <c r="K13" s="46">
        <f t="shared" si="1"/>
        <v>302</v>
      </c>
      <c r="L13" s="51"/>
      <c r="M13" s="55"/>
      <c r="N13" s="56"/>
      <c r="O13" s="57"/>
      <c r="P13" s="55"/>
      <c r="Q13" s="90"/>
      <c r="R13" s="88"/>
      <c r="S13" s="56"/>
      <c r="T13" s="90"/>
      <c r="U13" s="104"/>
      <c r="V13" s="55"/>
      <c r="W13" s="56"/>
      <c r="X13" s="104"/>
      <c r="Y13" s="105"/>
      <c r="Z13" s="56"/>
      <c r="AA13" s="104"/>
      <c r="AB13" s="101">
        <f t="shared" si="3"/>
        <v>592799.12</v>
      </c>
    </row>
    <row r="14" ht="28.5" customHeight="1" spans="1:28">
      <c r="A14" s="12"/>
      <c r="B14" s="108" t="s">
        <v>238</v>
      </c>
      <c r="C14" s="15" t="s">
        <v>239</v>
      </c>
      <c r="D14" s="16">
        <v>48.6018</v>
      </c>
      <c r="E14" s="17">
        <v>84</v>
      </c>
      <c r="F14" s="17">
        <v>108</v>
      </c>
      <c r="G14" s="18"/>
      <c r="H14" s="44"/>
      <c r="I14" s="45"/>
      <c r="J14" s="45">
        <f t="shared" si="0"/>
        <v>0</v>
      </c>
      <c r="K14" s="46">
        <f t="shared" si="1"/>
        <v>192</v>
      </c>
      <c r="L14" s="51"/>
      <c r="M14" s="55"/>
      <c r="N14" s="56"/>
      <c r="O14" s="57"/>
      <c r="P14" s="55"/>
      <c r="Q14" s="90"/>
      <c r="R14" s="88"/>
      <c r="S14" s="56"/>
      <c r="T14" s="90"/>
      <c r="U14" s="104"/>
      <c r="V14" s="55"/>
      <c r="W14" s="56"/>
      <c r="X14" s="104"/>
      <c r="Y14" s="105"/>
      <c r="Z14" s="56"/>
      <c r="AA14" s="104"/>
      <c r="AB14" s="101">
        <f t="shared" si="3"/>
        <v>592799.12</v>
      </c>
    </row>
    <row r="15" ht="28.5" customHeight="1" spans="1:28">
      <c r="A15" s="12"/>
      <c r="B15" s="7" t="s">
        <v>28</v>
      </c>
      <c r="C15" s="19"/>
      <c r="D15" s="9" t="s">
        <v>94</v>
      </c>
      <c r="E15" s="20">
        <f t="shared" ref="E15:G15" si="4">SUM(E5:E14)</f>
        <v>1988</v>
      </c>
      <c r="F15" s="20">
        <f t="shared" si="4"/>
        <v>463</v>
      </c>
      <c r="G15" s="21">
        <f t="shared" si="4"/>
        <v>0</v>
      </c>
      <c r="H15" s="58"/>
      <c r="I15" s="59"/>
      <c r="J15" s="60">
        <f>SUM(J5:J14)</f>
        <v>0</v>
      </c>
      <c r="K15" s="61">
        <f>SUM(K5:K14)</f>
        <v>2451</v>
      </c>
      <c r="L15" s="62"/>
      <c r="M15" s="63"/>
      <c r="N15" s="64"/>
      <c r="O15" s="65"/>
      <c r="P15" s="63"/>
      <c r="Q15" s="92"/>
      <c r="R15" s="93"/>
      <c r="S15" s="64"/>
      <c r="T15" s="92"/>
      <c r="U15" s="94"/>
      <c r="V15" s="63"/>
      <c r="W15" s="64"/>
      <c r="X15" s="94"/>
      <c r="Y15" s="106"/>
      <c r="Z15" s="64"/>
      <c r="AA15" s="94"/>
      <c r="AB15" s="109">
        <f t="shared" si="3"/>
        <v>592799.12</v>
      </c>
    </row>
    <row r="16" ht="28.5" customHeight="1" spans="1:28">
      <c r="A16" s="22"/>
      <c r="B16" s="23"/>
      <c r="C16" s="24"/>
      <c r="D16" s="25" t="s">
        <v>113</v>
      </c>
      <c r="E16" s="26">
        <f t="shared" ref="E16:K16" si="5">SUMPRODUCT($D$5:$D$14,E5:E14)</f>
        <v>249958.098</v>
      </c>
      <c r="F16" s="26">
        <f t="shared" si="5"/>
        <v>47082.4146</v>
      </c>
      <c r="G16" s="27">
        <f t="shared" si="5"/>
        <v>0</v>
      </c>
      <c r="H16" s="66">
        <f t="shared" si="5"/>
        <v>0</v>
      </c>
      <c r="I16" s="67">
        <f t="shared" si="5"/>
        <v>0</v>
      </c>
      <c r="J16" s="67">
        <f t="shared" si="5"/>
        <v>0</v>
      </c>
      <c r="K16" s="68">
        <f t="shared" si="5"/>
        <v>297040.5126</v>
      </c>
      <c r="L16" s="69">
        <f t="shared" ref="L16:Q16" si="6">SUM(L5:L15)</f>
        <v>742799.12</v>
      </c>
      <c r="M16" s="70"/>
      <c r="N16" s="71">
        <f t="shared" si="6"/>
        <v>0</v>
      </c>
      <c r="O16" s="71"/>
      <c r="P16" s="70"/>
      <c r="Q16" s="71">
        <f t="shared" si="6"/>
        <v>597930.6741</v>
      </c>
      <c r="R16" s="70"/>
      <c r="S16" s="71">
        <f>SUM(S5:S15)</f>
        <v>150000</v>
      </c>
      <c r="T16" s="95">
        <f>S16-Q16</f>
        <v>-447930.6741</v>
      </c>
      <c r="U16" s="71"/>
      <c r="V16" s="70"/>
      <c r="W16" s="71"/>
      <c r="X16" s="71"/>
      <c r="Y16" s="71"/>
      <c r="Z16" s="71">
        <f>SUM(Z5:Z15)</f>
        <v>0</v>
      </c>
      <c r="AA16" s="71"/>
      <c r="AB16" s="107">
        <f>L16+N16-S16-Z16</f>
        <v>592799.12</v>
      </c>
    </row>
  </sheetData>
  <mergeCells count="20">
    <mergeCell ref="B2:G2"/>
    <mergeCell ref="H2:K2"/>
    <mergeCell ref="L2:AB2"/>
    <mergeCell ref="H3:I3"/>
    <mergeCell ref="M3:O3"/>
    <mergeCell ref="P3:U3"/>
    <mergeCell ref="V3:AA3"/>
    <mergeCell ref="A3:A16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L5:L15"/>
    <mergeCell ref="AB3:AB4"/>
    <mergeCell ref="B15:C16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AC15"/>
  <sheetViews>
    <sheetView zoomScale="90" zoomScaleNormal="90" workbookViewId="0">
      <pane xSplit="8" ySplit="2" topLeftCell="I3" activePane="bottomRight" state="frozen"/>
      <selection/>
      <selection pane="topRight"/>
      <selection pane="bottomLeft"/>
      <selection pane="bottomRight" activeCell="K20" sqref="K20"/>
    </sheetView>
  </sheetViews>
  <sheetFormatPr defaultColWidth="9" defaultRowHeight="14.25"/>
  <cols>
    <col min="2" max="2" width="12.25" customWidth="1"/>
    <col min="3" max="3" width="11.5" customWidth="1"/>
    <col min="4" max="5" width="9.5" customWidth="1"/>
    <col min="6" max="6" width="14.75" customWidth="1"/>
    <col min="7" max="7" width="13.5" customWidth="1"/>
    <col min="8" max="8" width="9.75" customWidth="1"/>
    <col min="9" max="9" width="14.75" customWidth="1"/>
    <col min="11" max="11" width="14.5" customWidth="1"/>
    <col min="12" max="12" width="13.5" customWidth="1"/>
    <col min="13" max="13" width="17" customWidth="1"/>
    <col min="14" max="14" width="10.5" customWidth="1"/>
    <col min="15" max="15" width="14.5" customWidth="1"/>
    <col min="16" max="16" width="10.5" customWidth="1"/>
    <col min="17" max="17" width="11.625" customWidth="1"/>
    <col min="18" max="18" width="17" customWidth="1"/>
    <col min="19" max="19" width="10.5" customWidth="1"/>
    <col min="20" max="20" width="13.875" customWidth="1"/>
    <col min="21" max="21" width="18.25" customWidth="1"/>
    <col min="22" max="22" width="8.75" customWidth="1"/>
    <col min="23" max="23" width="9.5" customWidth="1"/>
    <col min="24" max="24" width="5.5" customWidth="1"/>
    <col min="25" max="27" width="9.5" customWidth="1"/>
    <col min="28" max="28" width="5.5" customWidth="1"/>
    <col min="29" max="29" width="17" customWidth="1"/>
  </cols>
  <sheetData>
    <row r="1" ht="60.75" customHeight="1" spans="1:19">
      <c r="A1" s="2" t="s">
        <v>240</v>
      </c>
      <c r="R1" s="72"/>
      <c r="S1" s="72"/>
    </row>
    <row r="2" s="1" customFormat="1" ht="47.25" customHeight="1" spans="1:29">
      <c r="A2" s="3" t="s">
        <v>185</v>
      </c>
      <c r="B2" s="4" t="s">
        <v>186</v>
      </c>
      <c r="C2" s="5"/>
      <c r="D2" s="5"/>
      <c r="E2" s="5"/>
      <c r="F2" s="5"/>
      <c r="G2" s="5"/>
      <c r="H2" s="6"/>
      <c r="I2" s="4" t="s">
        <v>187</v>
      </c>
      <c r="J2" s="5"/>
      <c r="K2" s="5"/>
      <c r="L2" s="6"/>
      <c r="M2" s="28" t="s">
        <v>188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96"/>
    </row>
    <row r="3" ht="19.5" customHeight="1" spans="1:29">
      <c r="A3" s="7">
        <v>2016.1</v>
      </c>
      <c r="B3" s="8" t="s">
        <v>108</v>
      </c>
      <c r="C3" s="9" t="s">
        <v>189</v>
      </c>
      <c r="D3" s="10" t="s">
        <v>190</v>
      </c>
      <c r="E3" s="10" t="s">
        <v>190</v>
      </c>
      <c r="F3" s="9" t="s">
        <v>191</v>
      </c>
      <c r="G3" s="9" t="s">
        <v>192</v>
      </c>
      <c r="H3" s="11" t="s">
        <v>193</v>
      </c>
      <c r="I3" s="30" t="s">
        <v>194</v>
      </c>
      <c r="J3" s="31"/>
      <c r="K3" s="32" t="s">
        <v>28</v>
      </c>
      <c r="L3" s="33" t="s">
        <v>195</v>
      </c>
      <c r="M3" s="34" t="s">
        <v>196</v>
      </c>
      <c r="N3" s="35" t="s">
        <v>156</v>
      </c>
      <c r="O3" s="36"/>
      <c r="P3" s="37"/>
      <c r="Q3" s="73" t="s">
        <v>157</v>
      </c>
      <c r="R3" s="74"/>
      <c r="S3" s="74"/>
      <c r="T3" s="74"/>
      <c r="U3" s="74"/>
      <c r="V3" s="75"/>
      <c r="W3" s="73" t="s">
        <v>158</v>
      </c>
      <c r="X3" s="74"/>
      <c r="Y3" s="74"/>
      <c r="Z3" s="74"/>
      <c r="AA3" s="74"/>
      <c r="AB3" s="75"/>
      <c r="AC3" s="97" t="s">
        <v>38</v>
      </c>
    </row>
    <row r="4" ht="28.5" customHeight="1" spans="1:29">
      <c r="A4" s="12"/>
      <c r="B4" s="13"/>
      <c r="C4" s="9"/>
      <c r="D4" s="14"/>
      <c r="E4" s="14"/>
      <c r="F4" s="9"/>
      <c r="G4" s="9"/>
      <c r="H4" s="11"/>
      <c r="I4" s="38">
        <v>42394</v>
      </c>
      <c r="J4" s="39"/>
      <c r="K4" s="40"/>
      <c r="L4" s="41"/>
      <c r="M4" s="42"/>
      <c r="N4" s="43" t="s">
        <v>194</v>
      </c>
      <c r="O4" s="43" t="s">
        <v>113</v>
      </c>
      <c r="P4" s="43" t="s">
        <v>35</v>
      </c>
      <c r="Q4" s="43" t="s">
        <v>33</v>
      </c>
      <c r="R4" s="73" t="s">
        <v>159</v>
      </c>
      <c r="S4" s="76" t="s">
        <v>35</v>
      </c>
      <c r="T4" s="43" t="s">
        <v>198</v>
      </c>
      <c r="U4" s="43" t="s">
        <v>37</v>
      </c>
      <c r="V4" s="43" t="s">
        <v>10</v>
      </c>
      <c r="W4" s="43" t="s">
        <v>161</v>
      </c>
      <c r="X4" s="43" t="s">
        <v>113</v>
      </c>
      <c r="Y4" s="43" t="s">
        <v>162</v>
      </c>
      <c r="Z4" s="43" t="s">
        <v>163</v>
      </c>
      <c r="AA4" s="43" t="s">
        <v>164</v>
      </c>
      <c r="AB4" s="43" t="s">
        <v>10</v>
      </c>
      <c r="AC4" s="98"/>
    </row>
    <row r="5" ht="28.5" customHeight="1" spans="1:29">
      <c r="A5" s="12"/>
      <c r="B5" s="8" t="str">
        <f>[1]出货计划!$D$143</f>
        <v>43417T00500</v>
      </c>
      <c r="C5" s="15" t="str">
        <f>[1]出货计划!$E$143</f>
        <v>SHAFT-COUNTER</v>
      </c>
      <c r="D5" s="16">
        <v>638.1648</v>
      </c>
      <c r="E5" s="16">
        <v>631.6596</v>
      </c>
      <c r="F5" s="17">
        <v>55</v>
      </c>
      <c r="G5" s="17">
        <v>33</v>
      </c>
      <c r="H5" s="18"/>
      <c r="I5" s="44">
        <v>55</v>
      </c>
      <c r="J5" s="45"/>
      <c r="K5" s="45">
        <f t="shared" ref="K5:K11" si="0">SUM(I5:J5)</f>
        <v>55</v>
      </c>
      <c r="L5" s="46">
        <f t="shared" ref="L5:L9" si="1">F5+G5-H5-K5</f>
        <v>33</v>
      </c>
      <c r="M5" s="47">
        <v>2763948.07</v>
      </c>
      <c r="N5" s="48"/>
      <c r="O5" s="49"/>
      <c r="P5" s="50"/>
      <c r="Q5" s="77"/>
      <c r="R5" s="78"/>
      <c r="S5" s="79"/>
      <c r="T5" s="49"/>
      <c r="U5" s="78"/>
      <c r="V5" s="80"/>
      <c r="W5" s="48"/>
      <c r="X5" s="49"/>
      <c r="Y5" s="99"/>
      <c r="Z5" s="100"/>
      <c r="AA5" s="49"/>
      <c r="AB5" s="99"/>
      <c r="AC5" s="101">
        <f>M5</f>
        <v>2763948.07</v>
      </c>
    </row>
    <row r="6" ht="28.5" customHeight="1" spans="1:29">
      <c r="A6" s="12"/>
      <c r="B6" s="8" t="str">
        <f>[1]出货计划!$D$145</f>
        <v>43551T00080</v>
      </c>
      <c r="C6" s="15" t="str">
        <f>[1]出货计划!$E$145</f>
        <v>CARRIER ASS'Y</v>
      </c>
      <c r="D6" s="16">
        <v>823.9842</v>
      </c>
      <c r="E6" s="16">
        <v>823.9842</v>
      </c>
      <c r="F6" s="17">
        <v>64</v>
      </c>
      <c r="G6" s="17">
        <v>64</v>
      </c>
      <c r="H6" s="18"/>
      <c r="I6" s="44">
        <v>64</v>
      </c>
      <c r="J6" s="45"/>
      <c r="K6" s="45">
        <f t="shared" si="0"/>
        <v>64</v>
      </c>
      <c r="L6" s="46">
        <f t="shared" si="1"/>
        <v>64</v>
      </c>
      <c r="M6" s="51"/>
      <c r="N6" s="52">
        <v>42394</v>
      </c>
      <c r="O6" s="53">
        <f>I11</f>
        <v>124320.0816</v>
      </c>
      <c r="P6" s="54">
        <f>N6+120</f>
        <v>42514</v>
      </c>
      <c r="Q6" s="81" t="s">
        <v>241</v>
      </c>
      <c r="R6" s="82">
        <v>1990121.2423</v>
      </c>
      <c r="S6" s="83"/>
      <c r="T6" s="53"/>
      <c r="U6" s="84">
        <f>T6-R6</f>
        <v>-1990121.2423</v>
      </c>
      <c r="V6" s="85" t="s">
        <v>242</v>
      </c>
      <c r="W6" s="52"/>
      <c r="X6" s="53"/>
      <c r="Y6" s="102"/>
      <c r="Z6" s="103"/>
      <c r="AA6" s="53"/>
      <c r="AB6" s="102"/>
      <c r="AC6" s="101">
        <f t="shared" ref="AC6:AC10" si="2">AC5+O6-T6-AA6</f>
        <v>2888268.1516</v>
      </c>
    </row>
    <row r="7" ht="28.5" customHeight="1" spans="1:29">
      <c r="A7" s="12"/>
      <c r="B7" s="8" t="str">
        <f>[1]出货计划!$D$147</f>
        <v>43417T00530</v>
      </c>
      <c r="C7" s="15" t="str">
        <f>[1]出货计划!$E$147</f>
        <v>SHAFT-COUNTER</v>
      </c>
      <c r="D7" s="16">
        <v>750.2625</v>
      </c>
      <c r="E7" s="16">
        <v>742.7277</v>
      </c>
      <c r="F7" s="17"/>
      <c r="G7" s="17">
        <v>28</v>
      </c>
      <c r="H7" s="18"/>
      <c r="I7" s="44"/>
      <c r="J7" s="45"/>
      <c r="K7" s="45">
        <f t="shared" si="0"/>
        <v>0</v>
      </c>
      <c r="L7" s="46">
        <f t="shared" si="1"/>
        <v>28</v>
      </c>
      <c r="M7" s="51"/>
      <c r="N7" s="52"/>
      <c r="O7" s="53"/>
      <c r="P7" s="54"/>
      <c r="Q7" s="86">
        <v>42277</v>
      </c>
      <c r="R7" s="82">
        <v>261510.5376</v>
      </c>
      <c r="S7" s="83"/>
      <c r="T7" s="53"/>
      <c r="U7" s="87">
        <f>U6+T7-R7</f>
        <v>-2251631.7799</v>
      </c>
      <c r="V7" s="85"/>
      <c r="W7" s="52"/>
      <c r="X7" s="53"/>
      <c r="Y7" s="102"/>
      <c r="Z7" s="103"/>
      <c r="AA7" s="53"/>
      <c r="AB7" s="102"/>
      <c r="AC7" s="101">
        <f t="shared" si="2"/>
        <v>2888268.1516</v>
      </c>
    </row>
    <row r="8" ht="28.5" customHeight="1" spans="1:29">
      <c r="A8" s="12"/>
      <c r="B8" s="8" t="str">
        <f>[1]出货计划!$D$149</f>
        <v>43551T00090</v>
      </c>
      <c r="C8" s="15" t="str">
        <f>[1]出货计划!$E$149</f>
        <v>CARRIER ASS'Y</v>
      </c>
      <c r="D8" s="16">
        <v>763.4835</v>
      </c>
      <c r="E8" s="16">
        <v>763.4835</v>
      </c>
      <c r="F8" s="17"/>
      <c r="G8" s="17"/>
      <c r="H8" s="18"/>
      <c r="I8" s="44"/>
      <c r="J8" s="45"/>
      <c r="K8" s="45">
        <f t="shared" si="0"/>
        <v>0</v>
      </c>
      <c r="L8" s="46">
        <f t="shared" si="1"/>
        <v>0</v>
      </c>
      <c r="M8" s="51"/>
      <c r="N8" s="55"/>
      <c r="O8" s="56"/>
      <c r="P8" s="57"/>
      <c r="Q8" s="86"/>
      <c r="R8" s="82"/>
      <c r="S8" s="88"/>
      <c r="T8" s="56"/>
      <c r="U8" s="87"/>
      <c r="V8" s="89"/>
      <c r="W8" s="55"/>
      <c r="X8" s="56"/>
      <c r="Y8" s="104"/>
      <c r="Z8" s="105"/>
      <c r="AA8" s="56"/>
      <c r="AB8" s="104"/>
      <c r="AC8" s="101">
        <f t="shared" si="2"/>
        <v>2888268.1516</v>
      </c>
    </row>
    <row r="9" ht="28.5" customHeight="1" spans="1:29">
      <c r="A9" s="12"/>
      <c r="B9" s="8" t="str">
        <f>[1]出货计划!$D$151</f>
        <v>43559T00020</v>
      </c>
      <c r="C9" s="15" t="str">
        <f>[1]出货计划!$E$151</f>
        <v>BODY-RING GEAR</v>
      </c>
      <c r="D9" s="16">
        <v>380.0628</v>
      </c>
      <c r="E9" s="16">
        <v>372.4578</v>
      </c>
      <c r="F9" s="17">
        <v>96</v>
      </c>
      <c r="G9" s="17"/>
      <c r="H9" s="18"/>
      <c r="I9" s="44">
        <v>96</v>
      </c>
      <c r="J9" s="45"/>
      <c r="K9" s="45">
        <f t="shared" si="0"/>
        <v>96</v>
      </c>
      <c r="L9" s="46">
        <f t="shared" si="1"/>
        <v>0</v>
      </c>
      <c r="M9" s="51"/>
      <c r="N9" s="55"/>
      <c r="O9" s="56"/>
      <c r="P9" s="57"/>
      <c r="Q9" s="55"/>
      <c r="R9" s="90"/>
      <c r="S9" s="88"/>
      <c r="T9" s="56"/>
      <c r="U9" s="91"/>
      <c r="V9" s="89"/>
      <c r="W9" s="55"/>
      <c r="X9" s="56"/>
      <c r="Y9" s="104"/>
      <c r="Z9" s="105"/>
      <c r="AA9" s="56"/>
      <c r="AB9" s="104"/>
      <c r="AC9" s="101">
        <f t="shared" si="2"/>
        <v>2888268.1516</v>
      </c>
    </row>
    <row r="10" ht="28.5" customHeight="1" spans="1:29">
      <c r="A10" s="12"/>
      <c r="B10" s="7" t="s">
        <v>28</v>
      </c>
      <c r="C10" s="19"/>
      <c r="D10" s="9" t="s">
        <v>94</v>
      </c>
      <c r="E10" s="9" t="s">
        <v>94</v>
      </c>
      <c r="F10" s="20">
        <f t="shared" ref="F10:J10" si="3">SUM(F5:F9)</f>
        <v>215</v>
      </c>
      <c r="G10" s="20">
        <f t="shared" si="3"/>
        <v>125</v>
      </c>
      <c r="H10" s="21">
        <f t="shared" si="3"/>
        <v>0</v>
      </c>
      <c r="I10" s="58">
        <f t="shared" si="3"/>
        <v>215</v>
      </c>
      <c r="J10" s="59">
        <f t="shared" si="3"/>
        <v>0</v>
      </c>
      <c r="K10" s="60">
        <f t="shared" si="0"/>
        <v>215</v>
      </c>
      <c r="L10" s="61">
        <f>SUM(L5:L9)</f>
        <v>125</v>
      </c>
      <c r="M10" s="62"/>
      <c r="N10" s="63"/>
      <c r="O10" s="64"/>
      <c r="P10" s="65"/>
      <c r="Q10" s="63"/>
      <c r="R10" s="92"/>
      <c r="S10" s="93"/>
      <c r="T10" s="64"/>
      <c r="U10" s="92"/>
      <c r="V10" s="94"/>
      <c r="W10" s="63"/>
      <c r="X10" s="64"/>
      <c r="Y10" s="94"/>
      <c r="Z10" s="106"/>
      <c r="AA10" s="64"/>
      <c r="AB10" s="94"/>
      <c r="AC10" s="101">
        <f t="shared" si="2"/>
        <v>2888268.1516</v>
      </c>
    </row>
    <row r="11" ht="28.5" customHeight="1" spans="1:29">
      <c r="A11" s="22"/>
      <c r="B11" s="23"/>
      <c r="C11" s="24"/>
      <c r="D11" s="25" t="s">
        <v>113</v>
      </c>
      <c r="E11" s="25" t="s">
        <v>113</v>
      </c>
      <c r="F11" s="26">
        <f>SUMPRODUCT($D$5:$D$9,F5:F9)</f>
        <v>124320.0816</v>
      </c>
      <c r="G11" s="26">
        <f>SUMPRODUCT($E$5:$E$9,G5:G9)</f>
        <v>94376.1312</v>
      </c>
      <c r="H11" s="27">
        <f>SUMPRODUCT($E$5:$E$9,H5:H9)</f>
        <v>0</v>
      </c>
      <c r="I11" s="66">
        <f>SUMPRODUCT($D$5:$D$9,I5:I9)</f>
        <v>124320.0816</v>
      </c>
      <c r="J11" s="67">
        <f>SUMPRODUCT($E$5:$E$9,J5:J9)</f>
        <v>0</v>
      </c>
      <c r="K11" s="67">
        <f t="shared" si="0"/>
        <v>124320.0816</v>
      </c>
      <c r="L11" s="68">
        <f>SUMPRODUCT($E$5:$E$9,L5:L9)</f>
        <v>94376.1312</v>
      </c>
      <c r="M11" s="69">
        <f t="shared" ref="M11:R11" si="4">SUM(M5:M10)</f>
        <v>2763948.07</v>
      </c>
      <c r="N11" s="70"/>
      <c r="O11" s="71">
        <f t="shared" si="4"/>
        <v>124320.0816</v>
      </c>
      <c r="P11" s="71"/>
      <c r="Q11" s="70"/>
      <c r="R11" s="71">
        <f t="shared" si="4"/>
        <v>2251631.7799</v>
      </c>
      <c r="S11" s="70"/>
      <c r="T11" s="71">
        <f>SUM(T5:T10)</f>
        <v>0</v>
      </c>
      <c r="U11" s="95">
        <f>T11-R11</f>
        <v>-2251631.7799</v>
      </c>
      <c r="V11" s="71"/>
      <c r="W11" s="70"/>
      <c r="X11" s="71"/>
      <c r="Y11" s="71"/>
      <c r="Z11" s="71"/>
      <c r="AA11" s="71">
        <f>SUM(AA5:AA10)</f>
        <v>0</v>
      </c>
      <c r="AB11" s="71"/>
      <c r="AC11" s="107">
        <f>M11+O11-T11-AA11</f>
        <v>2888268.1516</v>
      </c>
    </row>
    <row r="15" spans="17:18">
      <c r="Q15" s="72"/>
      <c r="R15" s="72"/>
    </row>
  </sheetData>
  <mergeCells count="21">
    <mergeCell ref="B2:H2"/>
    <mergeCell ref="I2:L2"/>
    <mergeCell ref="M2:AC2"/>
    <mergeCell ref="I3:J3"/>
    <mergeCell ref="N3:P3"/>
    <mergeCell ref="Q3:V3"/>
    <mergeCell ref="W3:AB3"/>
    <mergeCell ref="A3:A11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M5:M10"/>
    <mergeCell ref="AC3:AC4"/>
    <mergeCell ref="B10:C1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16"/>
  <sheetViews>
    <sheetView workbookViewId="0">
      <pane xSplit="10" ySplit="2" topLeftCell="K151" activePane="bottomRight" state="frozen"/>
      <selection/>
      <selection pane="topRight"/>
      <selection pane="bottomLeft"/>
      <selection pane="bottomRight" activeCell="L183" sqref="L183"/>
    </sheetView>
  </sheetViews>
  <sheetFormatPr defaultColWidth="9" defaultRowHeight="14.25"/>
  <cols>
    <col min="1" max="1" width="5.375" customWidth="1"/>
    <col min="2" max="2" width="3.875" customWidth="1"/>
    <col min="3" max="3" width="11.375" hidden="1" customWidth="1"/>
    <col min="4" max="4" width="11.375" style="276" customWidth="1"/>
    <col min="5" max="5" width="16.125" customWidth="1"/>
    <col min="6" max="6" width="10.375" customWidth="1"/>
    <col min="7" max="7" width="14.625" customWidth="1"/>
    <col min="8" max="8" width="14.625" style="277" customWidth="1"/>
    <col min="9" max="9" width="13.875" style="278" customWidth="1"/>
    <col min="10" max="10" width="10.25" customWidth="1"/>
    <col min="11" max="11" width="15.125" style="279" customWidth="1"/>
    <col min="12" max="12" width="15" customWidth="1"/>
    <col min="13" max="14" width="15.125" customWidth="1"/>
  </cols>
  <sheetData>
    <row r="1" ht="27.75" customHeight="1" spans="1:10">
      <c r="A1" s="280" t="s">
        <v>29</v>
      </c>
      <c r="B1" s="280"/>
      <c r="C1" s="280"/>
      <c r="D1" s="280"/>
      <c r="E1" s="280"/>
      <c r="F1" s="280"/>
      <c r="G1" s="280"/>
      <c r="H1" s="280"/>
      <c r="I1" s="280"/>
      <c r="J1" s="280"/>
    </row>
    <row r="2" s="275" customFormat="1" ht="20.25" customHeight="1" spans="1:11">
      <c r="A2" s="133" t="s">
        <v>30</v>
      </c>
      <c r="B2" s="133" t="s">
        <v>31</v>
      </c>
      <c r="C2" s="133" t="s">
        <v>32</v>
      </c>
      <c r="D2" s="281" t="s">
        <v>33</v>
      </c>
      <c r="E2" s="133" t="s">
        <v>34</v>
      </c>
      <c r="F2" s="133" t="s">
        <v>35</v>
      </c>
      <c r="G2" s="133" t="s">
        <v>36</v>
      </c>
      <c r="H2" s="282" t="s">
        <v>37</v>
      </c>
      <c r="I2" s="311" t="s">
        <v>38</v>
      </c>
      <c r="J2" s="133" t="s">
        <v>10</v>
      </c>
      <c r="K2" s="312"/>
    </row>
    <row r="3" s="275" customFormat="1" ht="15" hidden="1" customHeight="1" spans="1:13">
      <c r="A3" s="133" t="s">
        <v>39</v>
      </c>
      <c r="B3" s="133">
        <v>1</v>
      </c>
      <c r="C3" s="281">
        <v>40084</v>
      </c>
      <c r="D3" s="281">
        <v>40085</v>
      </c>
      <c r="E3" s="223">
        <v>802458.3</v>
      </c>
      <c r="F3" s="281">
        <v>40143</v>
      </c>
      <c r="G3" s="223">
        <v>802458.3</v>
      </c>
      <c r="H3" s="283"/>
      <c r="I3" s="219">
        <f>E3-G3</f>
        <v>0</v>
      </c>
      <c r="J3" s="133"/>
      <c r="K3" s="313"/>
      <c r="L3" s="314"/>
      <c r="M3" s="315"/>
    </row>
    <row r="4" s="275" customFormat="1" ht="15" hidden="1" customHeight="1" spans="1:13">
      <c r="A4" s="133"/>
      <c r="B4" s="133">
        <v>2</v>
      </c>
      <c r="C4" s="281">
        <v>40114</v>
      </c>
      <c r="D4" s="281">
        <v>40116</v>
      </c>
      <c r="E4" s="223">
        <v>1059824.56</v>
      </c>
      <c r="F4" s="281">
        <v>40170</v>
      </c>
      <c r="G4" s="223">
        <v>500000</v>
      </c>
      <c r="H4" s="283"/>
      <c r="I4" s="219">
        <f>I3+E4-G4</f>
        <v>559824.56</v>
      </c>
      <c r="J4" s="133"/>
      <c r="K4" s="313"/>
      <c r="L4" s="314"/>
      <c r="M4" s="315"/>
    </row>
    <row r="5" s="275" customFormat="1" ht="15" hidden="1" customHeight="1" spans="1:13">
      <c r="A5" s="133"/>
      <c r="B5" s="133"/>
      <c r="C5" s="281">
        <v>40114</v>
      </c>
      <c r="D5" s="281">
        <v>40116</v>
      </c>
      <c r="E5" s="223">
        <v>30876.83</v>
      </c>
      <c r="F5" s="281"/>
      <c r="G5" s="223"/>
      <c r="H5" s="283"/>
      <c r="I5" s="219">
        <f t="shared" ref="I5:I13" si="0">I4+E5-G5</f>
        <v>590701.39</v>
      </c>
      <c r="J5" s="133"/>
      <c r="K5" s="313"/>
      <c r="L5" s="314"/>
      <c r="M5" s="315"/>
    </row>
    <row r="6" s="275" customFormat="1" ht="15" hidden="1" customHeight="1" spans="1:13">
      <c r="A6" s="133"/>
      <c r="B6" s="133">
        <v>3</v>
      </c>
      <c r="C6" s="281">
        <v>40147</v>
      </c>
      <c r="D6" s="281">
        <v>40154</v>
      </c>
      <c r="E6" s="223">
        <v>1594127.05</v>
      </c>
      <c r="F6" s="281">
        <v>40219</v>
      </c>
      <c r="G6" s="223">
        <f>1190701.39</f>
        <v>1190701.39</v>
      </c>
      <c r="H6" s="283"/>
      <c r="I6" s="219">
        <f t="shared" si="0"/>
        <v>994127.05</v>
      </c>
      <c r="J6" s="133"/>
      <c r="K6" s="313"/>
      <c r="M6" s="315"/>
    </row>
    <row r="7" s="275" customFormat="1" ht="15" hidden="1" customHeight="1" spans="1:13">
      <c r="A7" s="133"/>
      <c r="B7" s="133"/>
      <c r="C7" s="281"/>
      <c r="D7" s="281"/>
      <c r="E7" s="223"/>
      <c r="F7" s="281"/>
      <c r="G7" s="223"/>
      <c r="H7" s="283"/>
      <c r="I7" s="219">
        <f t="shared" si="0"/>
        <v>994127.05</v>
      </c>
      <c r="J7" s="133"/>
      <c r="K7" s="313"/>
      <c r="M7" s="315"/>
    </row>
    <row r="8" s="275" customFormat="1" ht="15" hidden="1" customHeight="1" spans="1:13">
      <c r="A8" s="133"/>
      <c r="B8" s="133"/>
      <c r="C8" s="281">
        <v>40178</v>
      </c>
      <c r="D8" s="281">
        <v>40190</v>
      </c>
      <c r="E8" s="223">
        <v>1843771.67</v>
      </c>
      <c r="F8" s="281">
        <v>40248</v>
      </c>
      <c r="G8" s="223">
        <v>994127.05</v>
      </c>
      <c r="H8" s="283"/>
      <c r="I8" s="219">
        <f t="shared" si="0"/>
        <v>1843771.67</v>
      </c>
      <c r="J8" s="133"/>
      <c r="K8" s="313"/>
      <c r="M8" s="315"/>
    </row>
    <row r="9" s="275" customFormat="1" ht="15" hidden="1" customHeight="1" spans="1:13">
      <c r="A9" s="133"/>
      <c r="B9" s="133"/>
      <c r="C9" s="281"/>
      <c r="D9" s="281"/>
      <c r="E9" s="223"/>
      <c r="F9" s="133"/>
      <c r="G9" s="223"/>
      <c r="H9" s="283"/>
      <c r="I9" s="219">
        <f t="shared" si="0"/>
        <v>1843771.67</v>
      </c>
      <c r="J9" s="133"/>
      <c r="K9" s="313"/>
      <c r="M9" s="315"/>
    </row>
    <row r="10" s="275" customFormat="1" ht="15" hidden="1" customHeight="1" spans="1:13">
      <c r="A10" s="133"/>
      <c r="B10" s="133">
        <v>4</v>
      </c>
      <c r="C10" s="281"/>
      <c r="D10" s="281"/>
      <c r="E10" s="223"/>
      <c r="F10" s="281">
        <v>40256</v>
      </c>
      <c r="G10" s="223">
        <v>1500000</v>
      </c>
      <c r="H10" s="283"/>
      <c r="I10" s="219">
        <f t="shared" si="0"/>
        <v>343771.67</v>
      </c>
      <c r="J10" s="133"/>
      <c r="K10" s="313"/>
      <c r="L10" s="314"/>
      <c r="M10" s="315"/>
    </row>
    <row r="11" s="275" customFormat="1" ht="15" hidden="1" customHeight="1" spans="1:13">
      <c r="A11" s="133"/>
      <c r="B11" s="133">
        <v>5</v>
      </c>
      <c r="C11" s="281"/>
      <c r="D11" s="281"/>
      <c r="E11" s="223"/>
      <c r="F11" s="281">
        <v>40278</v>
      </c>
      <c r="G11" s="223">
        <v>343771.67</v>
      </c>
      <c r="H11" s="283"/>
      <c r="I11" s="219">
        <f t="shared" si="0"/>
        <v>0</v>
      </c>
      <c r="J11" s="133"/>
      <c r="K11" s="313"/>
      <c r="L11" s="314"/>
      <c r="M11" s="315"/>
    </row>
    <row r="12" s="275" customFormat="1" ht="25.5" customHeight="1" spans="1:13">
      <c r="A12" s="220" t="s">
        <v>40</v>
      </c>
      <c r="B12" s="284"/>
      <c r="C12" s="285"/>
      <c r="D12" s="286"/>
      <c r="E12" s="287">
        <f>SUM(E3:E11)</f>
        <v>5331058.41</v>
      </c>
      <c r="F12" s="285"/>
      <c r="G12" s="287">
        <f>SUM(G3:G11)</f>
        <v>5331058.41</v>
      </c>
      <c r="H12" s="288"/>
      <c r="I12" s="316">
        <f t="shared" si="0"/>
        <v>0</v>
      </c>
      <c r="J12" s="285"/>
      <c r="K12" s="313"/>
      <c r="L12" s="314"/>
      <c r="M12" s="315"/>
    </row>
    <row r="13" s="275" customFormat="1" ht="15" customHeight="1" spans="1:13">
      <c r="A13" s="289" t="s">
        <v>41</v>
      </c>
      <c r="B13" s="290">
        <v>1</v>
      </c>
      <c r="C13" s="291">
        <v>40209</v>
      </c>
      <c r="D13" s="291">
        <v>40219</v>
      </c>
      <c r="E13" s="292">
        <v>2145053.2</v>
      </c>
      <c r="F13" s="291"/>
      <c r="G13" s="292"/>
      <c r="H13" s="293">
        <f>G14+G15-E13</f>
        <v>-145053.2</v>
      </c>
      <c r="I13" s="317">
        <f t="shared" si="0"/>
        <v>2145053.2</v>
      </c>
      <c r="J13" s="318"/>
      <c r="K13" s="313"/>
      <c r="L13" s="314"/>
      <c r="M13" s="315"/>
    </row>
    <row r="14" s="275" customFormat="1" ht="15" customHeight="1" spans="1:13">
      <c r="A14" s="294"/>
      <c r="B14" s="295">
        <v>2</v>
      </c>
      <c r="C14" s="281"/>
      <c r="D14" s="281"/>
      <c r="E14" s="223"/>
      <c r="F14" s="281">
        <v>40296</v>
      </c>
      <c r="G14" s="223">
        <v>1000000</v>
      </c>
      <c r="H14" s="296"/>
      <c r="I14" s="219">
        <f t="shared" ref="I14:I31" si="1">I13+E14-G14</f>
        <v>1145053.2</v>
      </c>
      <c r="J14" s="319"/>
      <c r="K14" s="313"/>
      <c r="L14" s="314"/>
      <c r="M14" s="315"/>
    </row>
    <row r="15" s="275" customFormat="1" ht="15" customHeight="1" spans="1:13">
      <c r="A15" s="294"/>
      <c r="B15" s="297">
        <v>3</v>
      </c>
      <c r="C15" s="298"/>
      <c r="D15" s="298"/>
      <c r="E15" s="299"/>
      <c r="F15" s="298">
        <v>40317</v>
      </c>
      <c r="G15" s="299">
        <v>1000000</v>
      </c>
      <c r="H15" s="300"/>
      <c r="I15" s="320">
        <f t="shared" si="1"/>
        <v>145053.2</v>
      </c>
      <c r="J15" s="321"/>
      <c r="K15" s="313"/>
      <c r="L15" s="314"/>
      <c r="M15" s="315"/>
    </row>
    <row r="16" s="275" customFormat="1" ht="15" customHeight="1" spans="1:13">
      <c r="A16" s="294"/>
      <c r="B16" s="290">
        <v>4</v>
      </c>
      <c r="C16" s="301" t="s">
        <v>42</v>
      </c>
      <c r="D16" s="291">
        <v>40247</v>
      </c>
      <c r="E16" s="292">
        <v>2111278.16</v>
      </c>
      <c r="F16" s="291">
        <v>40317</v>
      </c>
      <c r="G16" s="292">
        <f>1111278.16</f>
        <v>1111278.16</v>
      </c>
      <c r="H16" s="293">
        <f>SUM(G16:G18)-E16</f>
        <v>0</v>
      </c>
      <c r="I16" s="317">
        <f t="shared" si="1"/>
        <v>1145053.2</v>
      </c>
      <c r="J16" s="318"/>
      <c r="K16" s="313"/>
      <c r="L16" s="314"/>
      <c r="M16" s="315"/>
    </row>
    <row r="17" s="275" customFormat="1" ht="15" customHeight="1" spans="1:13">
      <c r="A17" s="294"/>
      <c r="B17" s="295">
        <v>5</v>
      </c>
      <c r="C17" s="302"/>
      <c r="D17" s="281"/>
      <c r="E17" s="223"/>
      <c r="F17" s="281"/>
      <c r="G17" s="223"/>
      <c r="H17" s="296"/>
      <c r="I17" s="219">
        <f t="shared" si="1"/>
        <v>1145053.2</v>
      </c>
      <c r="J17" s="319"/>
      <c r="K17" s="313"/>
      <c r="L17" s="314"/>
      <c r="M17" s="315"/>
    </row>
    <row r="18" s="275" customFormat="1" ht="15" customHeight="1" spans="1:13">
      <c r="A18" s="294"/>
      <c r="B18" s="297">
        <v>6</v>
      </c>
      <c r="C18" s="303"/>
      <c r="D18" s="298"/>
      <c r="E18" s="299"/>
      <c r="F18" s="298">
        <v>40352</v>
      </c>
      <c r="G18" s="299">
        <v>1000000</v>
      </c>
      <c r="H18" s="300"/>
      <c r="I18" s="320">
        <f t="shared" si="1"/>
        <v>145053.2</v>
      </c>
      <c r="J18" s="321"/>
      <c r="K18" s="313"/>
      <c r="L18" s="314"/>
      <c r="M18" s="315"/>
    </row>
    <row r="19" s="275" customFormat="1" ht="15" customHeight="1" spans="1:13">
      <c r="A19" s="294"/>
      <c r="B19" s="290">
        <v>7</v>
      </c>
      <c r="C19" s="291">
        <v>40268</v>
      </c>
      <c r="D19" s="291">
        <v>40283</v>
      </c>
      <c r="E19" s="292">
        <v>3110668.53</v>
      </c>
      <c r="F19" s="291">
        <v>40333</v>
      </c>
      <c r="G19" s="292">
        <f>1145053.2</f>
        <v>1145053.2</v>
      </c>
      <c r="H19" s="293">
        <f>SUM(G19:G22)-E19</f>
        <v>145053.200000001</v>
      </c>
      <c r="I19" s="317">
        <f t="shared" si="1"/>
        <v>2110668.53</v>
      </c>
      <c r="J19" s="318"/>
      <c r="K19" s="313"/>
      <c r="L19" s="314"/>
      <c r="M19" s="315"/>
    </row>
    <row r="20" s="275" customFormat="1" ht="15" customHeight="1" spans="1:13">
      <c r="A20" s="294"/>
      <c r="B20" s="295">
        <v>8</v>
      </c>
      <c r="C20" s="281"/>
      <c r="D20" s="281"/>
      <c r="E20" s="223"/>
      <c r="F20" s="281"/>
      <c r="G20" s="223"/>
      <c r="H20" s="296"/>
      <c r="I20" s="219">
        <f t="shared" si="1"/>
        <v>2110668.53</v>
      </c>
      <c r="J20" s="319"/>
      <c r="K20" s="313"/>
      <c r="L20" s="314"/>
      <c r="M20" s="315"/>
    </row>
    <row r="21" s="275" customFormat="1" ht="15" customHeight="1" spans="1:13">
      <c r="A21" s="294"/>
      <c r="B21" s="295">
        <v>9</v>
      </c>
      <c r="C21" s="302"/>
      <c r="D21" s="281"/>
      <c r="E21" s="223"/>
      <c r="F21" s="281">
        <v>40355</v>
      </c>
      <c r="G21" s="223">
        <f>1000000</f>
        <v>1000000</v>
      </c>
      <c r="H21" s="296"/>
      <c r="I21" s="219">
        <f t="shared" si="1"/>
        <v>1110668.53</v>
      </c>
      <c r="J21" s="319"/>
      <c r="K21" s="313"/>
      <c r="L21" s="314"/>
      <c r="M21" s="315"/>
    </row>
    <row r="22" s="275" customFormat="1" ht="15" customHeight="1" spans="1:13">
      <c r="A22" s="294"/>
      <c r="B22" s="297">
        <v>10</v>
      </c>
      <c r="C22" s="303"/>
      <c r="D22" s="298"/>
      <c r="E22" s="299"/>
      <c r="F22" s="298">
        <v>40366</v>
      </c>
      <c r="G22" s="299">
        <v>1110668.53</v>
      </c>
      <c r="H22" s="300"/>
      <c r="I22" s="320">
        <f t="shared" si="1"/>
        <v>0</v>
      </c>
      <c r="J22" s="321"/>
      <c r="K22" s="313"/>
      <c r="L22" s="314"/>
      <c r="M22" s="315"/>
    </row>
    <row r="23" s="275" customFormat="1" ht="15" customHeight="1" spans="1:13">
      <c r="A23" s="294"/>
      <c r="B23" s="290">
        <v>11</v>
      </c>
      <c r="C23" s="291">
        <v>40298</v>
      </c>
      <c r="D23" s="291">
        <v>40315</v>
      </c>
      <c r="E23" s="292">
        <v>3350414.15</v>
      </c>
      <c r="F23" s="291">
        <v>40381</v>
      </c>
      <c r="G23" s="292">
        <v>1000000</v>
      </c>
      <c r="H23" s="293">
        <f>SUM(G23:G25)-E23</f>
        <v>-350414.15</v>
      </c>
      <c r="I23" s="317">
        <f t="shared" si="1"/>
        <v>2350414.15</v>
      </c>
      <c r="J23" s="318"/>
      <c r="K23" s="313"/>
      <c r="L23" s="314"/>
      <c r="M23" s="315"/>
    </row>
    <row r="24" s="275" customFormat="1" ht="15" customHeight="1" spans="1:13">
      <c r="A24" s="294"/>
      <c r="B24" s="295">
        <v>12</v>
      </c>
      <c r="C24" s="302"/>
      <c r="D24" s="281"/>
      <c r="E24" s="223"/>
      <c r="F24" s="281">
        <v>40401</v>
      </c>
      <c r="G24" s="223">
        <v>1000000</v>
      </c>
      <c r="H24" s="296"/>
      <c r="I24" s="219">
        <f t="shared" si="1"/>
        <v>1350414.15</v>
      </c>
      <c r="J24" s="319"/>
      <c r="K24" s="313"/>
      <c r="L24" s="314"/>
      <c r="M24" s="315"/>
    </row>
    <row r="25" s="275" customFormat="1" ht="15" customHeight="1" spans="1:13">
      <c r="A25" s="294"/>
      <c r="B25" s="297">
        <v>13</v>
      </c>
      <c r="C25" s="298"/>
      <c r="D25" s="298"/>
      <c r="E25" s="299"/>
      <c r="F25" s="298">
        <v>40414</v>
      </c>
      <c r="G25" s="299">
        <v>1000000</v>
      </c>
      <c r="H25" s="300"/>
      <c r="I25" s="320">
        <f t="shared" si="1"/>
        <v>350414.15</v>
      </c>
      <c r="J25" s="321"/>
      <c r="K25" s="313"/>
      <c r="L25" s="314"/>
      <c r="M25" s="315"/>
    </row>
    <row r="26" s="275" customFormat="1" ht="15" customHeight="1" spans="1:13">
      <c r="A26" s="294"/>
      <c r="B26" s="290">
        <v>14</v>
      </c>
      <c r="C26" s="291">
        <v>40328</v>
      </c>
      <c r="D26" s="291">
        <v>40341</v>
      </c>
      <c r="E26" s="292">
        <v>2975346.75</v>
      </c>
      <c r="F26" s="291">
        <v>40430</v>
      </c>
      <c r="G26" s="292">
        <f>1350414.15</f>
        <v>1350414.15</v>
      </c>
      <c r="H26" s="293">
        <f>SUM(G26:G30)-E26</f>
        <v>350414.15</v>
      </c>
      <c r="I26" s="317">
        <f t="shared" si="1"/>
        <v>1975346.75</v>
      </c>
      <c r="J26" s="318"/>
      <c r="K26" s="313"/>
      <c r="L26" s="314"/>
      <c r="M26" s="315"/>
    </row>
    <row r="27" s="275" customFormat="1" ht="15" customHeight="1" spans="1:13">
      <c r="A27" s="294"/>
      <c r="B27" s="295">
        <v>15</v>
      </c>
      <c r="C27" s="281"/>
      <c r="D27" s="281"/>
      <c r="E27" s="223"/>
      <c r="F27" s="281"/>
      <c r="G27" s="223"/>
      <c r="H27" s="296"/>
      <c r="I27" s="219">
        <f t="shared" si="1"/>
        <v>1975346.75</v>
      </c>
      <c r="J27" s="319"/>
      <c r="K27" s="313"/>
      <c r="L27" s="314"/>
      <c r="M27" s="315"/>
    </row>
    <row r="28" s="275" customFormat="1" ht="15" customHeight="1" spans="1:13">
      <c r="A28" s="294"/>
      <c r="B28" s="295">
        <v>16</v>
      </c>
      <c r="C28" s="281"/>
      <c r="D28" s="281"/>
      <c r="E28" s="223"/>
      <c r="F28" s="281">
        <v>40436</v>
      </c>
      <c r="G28" s="223">
        <v>700000</v>
      </c>
      <c r="H28" s="296"/>
      <c r="I28" s="219">
        <f t="shared" si="1"/>
        <v>1275346.75</v>
      </c>
      <c r="J28" s="319"/>
      <c r="K28" s="313"/>
      <c r="L28" s="314"/>
      <c r="M28" s="315"/>
    </row>
    <row r="29" s="275" customFormat="1" ht="15" customHeight="1" spans="1:13">
      <c r="A29" s="294"/>
      <c r="B29" s="295">
        <v>17</v>
      </c>
      <c r="C29" s="281"/>
      <c r="D29" s="281"/>
      <c r="E29" s="223"/>
      <c r="F29" s="281">
        <v>40439</v>
      </c>
      <c r="G29" s="223">
        <v>1000000</v>
      </c>
      <c r="H29" s="296"/>
      <c r="I29" s="219">
        <f t="shared" si="1"/>
        <v>275346.75</v>
      </c>
      <c r="J29" s="319"/>
      <c r="K29" s="313"/>
      <c r="L29" s="314"/>
      <c r="M29" s="315"/>
    </row>
    <row r="30" s="275" customFormat="1" ht="15" customHeight="1" spans="1:13">
      <c r="A30" s="294"/>
      <c r="B30" s="297">
        <v>18</v>
      </c>
      <c r="C30" s="298"/>
      <c r="D30" s="298"/>
      <c r="E30" s="299"/>
      <c r="F30" s="298">
        <v>40466</v>
      </c>
      <c r="G30" s="299">
        <v>275346.75</v>
      </c>
      <c r="H30" s="300"/>
      <c r="I30" s="320">
        <f t="shared" si="1"/>
        <v>0</v>
      </c>
      <c r="J30" s="321"/>
      <c r="K30" s="313"/>
      <c r="L30" s="314"/>
      <c r="M30" s="315"/>
    </row>
    <row r="31" s="275" customFormat="1" ht="15" customHeight="1" spans="1:13">
      <c r="A31" s="294"/>
      <c r="B31" s="290">
        <v>19</v>
      </c>
      <c r="C31" s="291">
        <v>40359</v>
      </c>
      <c r="D31" s="291">
        <v>40371</v>
      </c>
      <c r="E31" s="292">
        <v>2383364.9</v>
      </c>
      <c r="F31" s="291">
        <v>40467</v>
      </c>
      <c r="G31" s="292">
        <v>724653.25</v>
      </c>
      <c r="H31" s="293">
        <f>SUM(G31:G32)-E31</f>
        <v>-658711.65</v>
      </c>
      <c r="I31" s="317">
        <f t="shared" si="1"/>
        <v>1658711.65</v>
      </c>
      <c r="J31" s="318"/>
      <c r="K31" s="313"/>
      <c r="L31" s="314"/>
      <c r="M31" s="315"/>
    </row>
    <row r="32" s="275" customFormat="1" ht="15" customHeight="1" spans="1:13">
      <c r="A32" s="294"/>
      <c r="B32" s="297">
        <v>20</v>
      </c>
      <c r="C32" s="298"/>
      <c r="D32" s="298"/>
      <c r="E32" s="299"/>
      <c r="F32" s="298">
        <v>40478</v>
      </c>
      <c r="G32" s="299">
        <v>1000000</v>
      </c>
      <c r="H32" s="300"/>
      <c r="I32" s="320">
        <f t="shared" ref="I32:I52" si="2">I31+E32-G32</f>
        <v>658711.65</v>
      </c>
      <c r="J32" s="321"/>
      <c r="K32" s="313"/>
      <c r="L32" s="314"/>
      <c r="M32" s="315"/>
    </row>
    <row r="33" s="275" customFormat="1" ht="15" customHeight="1" spans="1:13">
      <c r="A33" s="294"/>
      <c r="B33" s="290">
        <v>21</v>
      </c>
      <c r="C33" s="291">
        <v>40389</v>
      </c>
      <c r="D33" s="291">
        <v>40400</v>
      </c>
      <c r="E33" s="292">
        <v>2156512.59</v>
      </c>
      <c r="F33" s="291">
        <v>40509</v>
      </c>
      <c r="G33" s="292">
        <f>2000000</f>
        <v>2000000</v>
      </c>
      <c r="H33" s="293">
        <f>SUM(G33:G35)-E33</f>
        <v>143487.41</v>
      </c>
      <c r="I33" s="317">
        <f t="shared" si="2"/>
        <v>815224.24</v>
      </c>
      <c r="J33" s="318"/>
      <c r="K33" s="313"/>
      <c r="L33" s="314"/>
      <c r="M33" s="315"/>
    </row>
    <row r="34" s="275" customFormat="1" ht="15" customHeight="1" spans="1:13">
      <c r="A34" s="294"/>
      <c r="B34" s="295">
        <v>22</v>
      </c>
      <c r="C34" s="281"/>
      <c r="D34" s="281"/>
      <c r="E34" s="223"/>
      <c r="F34" s="281"/>
      <c r="G34" s="223"/>
      <c r="H34" s="296"/>
      <c r="I34" s="219">
        <f t="shared" si="2"/>
        <v>815224.24</v>
      </c>
      <c r="J34" s="319"/>
      <c r="K34" s="313"/>
      <c r="L34" s="314"/>
      <c r="M34" s="315"/>
    </row>
    <row r="35" s="275" customFormat="1" ht="15" customHeight="1" spans="1:13">
      <c r="A35" s="294"/>
      <c r="B35" s="297">
        <v>23</v>
      </c>
      <c r="C35" s="298"/>
      <c r="D35" s="298"/>
      <c r="E35" s="299"/>
      <c r="F35" s="298">
        <v>40519</v>
      </c>
      <c r="G35" s="299">
        <v>300000</v>
      </c>
      <c r="H35" s="300"/>
      <c r="I35" s="322">
        <f t="shared" si="2"/>
        <v>515224.24</v>
      </c>
      <c r="J35" s="321"/>
      <c r="K35" s="313"/>
      <c r="M35" s="315"/>
    </row>
    <row r="36" s="275" customFormat="1" ht="15" customHeight="1" spans="1:13">
      <c r="A36" s="294"/>
      <c r="B36" s="290">
        <v>24</v>
      </c>
      <c r="C36" s="291">
        <v>40420</v>
      </c>
      <c r="D36" s="291">
        <v>40431</v>
      </c>
      <c r="E36" s="292">
        <v>1257696.05</v>
      </c>
      <c r="F36" s="291">
        <v>40521</v>
      </c>
      <c r="G36" s="292">
        <f>1257696.05</f>
        <v>1257696.05</v>
      </c>
      <c r="H36" s="293">
        <f>G36-E36</f>
        <v>0</v>
      </c>
      <c r="I36" s="317">
        <f t="shared" si="2"/>
        <v>515224.24</v>
      </c>
      <c r="J36" s="318"/>
      <c r="K36" s="313"/>
      <c r="L36" s="314"/>
      <c r="M36" s="315"/>
    </row>
    <row r="37" s="275" customFormat="1" ht="15" customHeight="1" spans="1:13">
      <c r="A37" s="294"/>
      <c r="B37" s="297">
        <v>25</v>
      </c>
      <c r="C37" s="298"/>
      <c r="D37" s="298"/>
      <c r="E37" s="299"/>
      <c r="F37" s="298"/>
      <c r="G37" s="299"/>
      <c r="H37" s="300"/>
      <c r="I37" s="320">
        <f t="shared" si="2"/>
        <v>515224.24</v>
      </c>
      <c r="J37" s="321"/>
      <c r="K37" s="313"/>
      <c r="L37" s="314"/>
      <c r="M37" s="315"/>
    </row>
    <row r="38" s="275" customFormat="1" ht="15" customHeight="1" spans="1:13">
      <c r="A38" s="294"/>
      <c r="B38" s="290">
        <v>26</v>
      </c>
      <c r="C38" s="291">
        <v>40451</v>
      </c>
      <c r="D38" s="291">
        <v>40466</v>
      </c>
      <c r="E38" s="292">
        <v>3555585.79</v>
      </c>
      <c r="F38" s="291">
        <v>40536</v>
      </c>
      <c r="G38" s="292">
        <f>1000000</f>
        <v>1000000</v>
      </c>
      <c r="H38" s="293">
        <f>SUM(G38:G42)-E38</f>
        <v>-484775.76</v>
      </c>
      <c r="I38" s="317">
        <f t="shared" si="2"/>
        <v>3070810.03</v>
      </c>
      <c r="J38" s="318"/>
      <c r="K38" s="313"/>
      <c r="L38" s="314"/>
      <c r="M38" s="315"/>
    </row>
    <row r="39" s="275" customFormat="1" ht="15" customHeight="1" spans="1:13">
      <c r="A39" s="294"/>
      <c r="B39" s="295">
        <v>27</v>
      </c>
      <c r="C39" s="281"/>
      <c r="D39" s="281"/>
      <c r="E39" s="223"/>
      <c r="F39" s="281"/>
      <c r="G39" s="223"/>
      <c r="H39" s="296"/>
      <c r="I39" s="219">
        <f t="shared" si="2"/>
        <v>3070810.03</v>
      </c>
      <c r="J39" s="319"/>
      <c r="K39" s="313"/>
      <c r="L39" s="314"/>
      <c r="M39" s="315"/>
    </row>
    <row r="40" s="275" customFormat="1" ht="15" customHeight="1" spans="1:13">
      <c r="A40" s="294"/>
      <c r="B40" s="295">
        <v>28</v>
      </c>
      <c r="C40" s="281"/>
      <c r="D40" s="281"/>
      <c r="E40" s="223"/>
      <c r="F40" s="281">
        <v>40548</v>
      </c>
      <c r="G40" s="223">
        <v>1700000</v>
      </c>
      <c r="H40" s="296"/>
      <c r="I40" s="219">
        <f t="shared" si="2"/>
        <v>1370810.03</v>
      </c>
      <c r="J40" s="319"/>
      <c r="K40" s="313"/>
      <c r="L40" s="314"/>
      <c r="M40" s="315"/>
    </row>
    <row r="41" s="275" customFormat="1" ht="15" customHeight="1" spans="1:13">
      <c r="A41" s="294"/>
      <c r="B41" s="295">
        <v>29</v>
      </c>
      <c r="C41" s="281"/>
      <c r="D41" s="281"/>
      <c r="E41" s="223"/>
      <c r="F41" s="281">
        <v>40549</v>
      </c>
      <c r="G41" s="223">
        <v>100000</v>
      </c>
      <c r="H41" s="296"/>
      <c r="I41" s="219">
        <f t="shared" si="2"/>
        <v>1270810.03</v>
      </c>
      <c r="J41" s="319"/>
      <c r="K41" s="313"/>
      <c r="L41" s="314"/>
      <c r="M41" s="315"/>
    </row>
    <row r="42" s="275" customFormat="1" ht="15" customHeight="1" spans="1:13">
      <c r="A42" s="294"/>
      <c r="B42" s="297">
        <v>30</v>
      </c>
      <c r="C42" s="298"/>
      <c r="D42" s="298"/>
      <c r="E42" s="299"/>
      <c r="F42" s="298">
        <v>40549</v>
      </c>
      <c r="G42" s="299">
        <v>270810.03</v>
      </c>
      <c r="H42" s="300"/>
      <c r="I42" s="320">
        <f t="shared" si="2"/>
        <v>1000000</v>
      </c>
      <c r="J42" s="321"/>
      <c r="K42" s="313"/>
      <c r="L42" s="314"/>
      <c r="M42" s="315"/>
    </row>
    <row r="43" s="275" customFormat="1" ht="15" customHeight="1" spans="1:13">
      <c r="A43" s="294"/>
      <c r="B43" s="290">
        <v>31</v>
      </c>
      <c r="C43" s="291">
        <v>40481</v>
      </c>
      <c r="D43" s="291">
        <v>40497</v>
      </c>
      <c r="E43" s="292">
        <v>3627408.77</v>
      </c>
      <c r="F43" s="291">
        <v>40568</v>
      </c>
      <c r="G43" s="292">
        <f>1627408.77</f>
        <v>1627408.77</v>
      </c>
      <c r="H43" s="293">
        <f>SUM(G43:G45)-E43</f>
        <v>0</v>
      </c>
      <c r="I43" s="317">
        <f t="shared" si="2"/>
        <v>3000000</v>
      </c>
      <c r="J43" s="318"/>
      <c r="K43" s="313"/>
      <c r="L43" s="314"/>
      <c r="M43" s="315"/>
    </row>
    <row r="44" s="275" customFormat="1" ht="15" customHeight="1" spans="1:13">
      <c r="A44" s="294"/>
      <c r="B44" s="295">
        <v>32</v>
      </c>
      <c r="C44" s="281"/>
      <c r="D44" s="281"/>
      <c r="E44" s="223"/>
      <c r="F44" s="281"/>
      <c r="G44" s="223"/>
      <c r="H44" s="296"/>
      <c r="I44" s="219">
        <f t="shared" si="2"/>
        <v>3000000</v>
      </c>
      <c r="J44" s="319"/>
      <c r="K44" s="313"/>
      <c r="L44" s="314"/>
      <c r="M44" s="315"/>
    </row>
    <row r="45" s="275" customFormat="1" ht="15" customHeight="1" spans="1:13">
      <c r="A45" s="294"/>
      <c r="B45" s="297">
        <v>33</v>
      </c>
      <c r="C45" s="298"/>
      <c r="D45" s="298"/>
      <c r="E45" s="299"/>
      <c r="F45" s="298">
        <v>40563</v>
      </c>
      <c r="G45" s="299">
        <v>2000000</v>
      </c>
      <c r="H45" s="300"/>
      <c r="I45" s="320">
        <f t="shared" si="2"/>
        <v>1000000</v>
      </c>
      <c r="J45" s="321"/>
      <c r="K45" s="313"/>
      <c r="L45" s="314"/>
      <c r="M45" s="315"/>
    </row>
    <row r="46" s="275" customFormat="1" ht="15" customHeight="1" spans="1:13">
      <c r="A46" s="294"/>
      <c r="B46" s="290">
        <v>34</v>
      </c>
      <c r="C46" s="291">
        <v>40512</v>
      </c>
      <c r="D46" s="291">
        <v>40527</v>
      </c>
      <c r="E46" s="292">
        <v>5644631.04</v>
      </c>
      <c r="F46" s="291">
        <v>40602</v>
      </c>
      <c r="G46" s="292">
        <f>3000000</f>
        <v>3000000</v>
      </c>
      <c r="H46" s="293">
        <f>SUM(G46:G48)-E46</f>
        <v>1000000</v>
      </c>
      <c r="I46" s="317">
        <f t="shared" si="2"/>
        <v>3644631.04</v>
      </c>
      <c r="J46" s="318"/>
      <c r="K46" s="313"/>
      <c r="L46" s="314"/>
      <c r="M46" s="315"/>
    </row>
    <row r="47" s="275" customFormat="1" ht="15" customHeight="1" spans="1:13">
      <c r="A47" s="294"/>
      <c r="B47" s="295">
        <v>35</v>
      </c>
      <c r="C47" s="281"/>
      <c r="D47" s="281"/>
      <c r="E47" s="223"/>
      <c r="F47" s="281"/>
      <c r="G47" s="223"/>
      <c r="H47" s="296"/>
      <c r="I47" s="219">
        <f t="shared" si="2"/>
        <v>3644631.04</v>
      </c>
      <c r="J47" s="319"/>
      <c r="K47" s="312"/>
      <c r="L47" s="314"/>
      <c r="M47" s="315"/>
    </row>
    <row r="48" s="275" customFormat="1" ht="15" customHeight="1" spans="1:13">
      <c r="A48" s="294"/>
      <c r="B48" s="297">
        <v>36</v>
      </c>
      <c r="C48" s="298"/>
      <c r="D48" s="298"/>
      <c r="E48" s="299"/>
      <c r="F48" s="298">
        <v>40602</v>
      </c>
      <c r="G48" s="299">
        <v>3644631.04</v>
      </c>
      <c r="H48" s="300"/>
      <c r="I48" s="322">
        <f t="shared" si="2"/>
        <v>0</v>
      </c>
      <c r="J48" s="321"/>
      <c r="K48" s="312"/>
      <c r="L48" s="314"/>
      <c r="M48" s="315"/>
    </row>
    <row r="49" s="275" customFormat="1" ht="15" customHeight="1" spans="1:13">
      <c r="A49" s="294"/>
      <c r="B49" s="290">
        <v>37</v>
      </c>
      <c r="C49" s="291">
        <v>40542</v>
      </c>
      <c r="D49" s="291">
        <v>40558</v>
      </c>
      <c r="E49" s="292">
        <v>5828357.81</v>
      </c>
      <c r="F49" s="291">
        <v>40631</v>
      </c>
      <c r="G49" s="292">
        <v>362909.44</v>
      </c>
      <c r="H49" s="293">
        <f>SUM(G49:G52)-E49</f>
        <v>-465448.37</v>
      </c>
      <c r="I49" s="317">
        <f t="shared" si="2"/>
        <v>5465448.37</v>
      </c>
      <c r="J49" s="318"/>
      <c r="K49" s="312"/>
      <c r="L49" s="314"/>
      <c r="M49" s="315"/>
    </row>
    <row r="50" s="275" customFormat="1" ht="15" customHeight="1" spans="1:13">
      <c r="A50" s="294"/>
      <c r="B50" s="295">
        <v>38</v>
      </c>
      <c r="C50" s="302"/>
      <c r="D50" s="281"/>
      <c r="E50" s="302"/>
      <c r="F50" s="281">
        <v>40631</v>
      </c>
      <c r="G50" s="223">
        <v>2000000</v>
      </c>
      <c r="H50" s="296"/>
      <c r="I50" s="219">
        <f t="shared" si="2"/>
        <v>3465448.37</v>
      </c>
      <c r="J50" s="319"/>
      <c r="K50" s="312"/>
      <c r="L50" s="314"/>
      <c r="M50" s="315"/>
    </row>
    <row r="51" s="275" customFormat="1" ht="15" customHeight="1" spans="1:13">
      <c r="A51" s="294"/>
      <c r="B51" s="295">
        <v>39</v>
      </c>
      <c r="C51" s="302"/>
      <c r="D51" s="281"/>
      <c r="E51" s="302"/>
      <c r="F51" s="281">
        <v>40633</v>
      </c>
      <c r="G51" s="223">
        <v>3000000</v>
      </c>
      <c r="H51" s="296"/>
      <c r="I51" s="219">
        <f t="shared" si="2"/>
        <v>465448.369999999</v>
      </c>
      <c r="J51" s="319"/>
      <c r="K51" s="312"/>
      <c r="L51" s="314"/>
      <c r="M51" s="315"/>
    </row>
    <row r="52" s="275" customFormat="1" ht="15" customHeight="1" spans="1:14">
      <c r="A52" s="294"/>
      <c r="B52" s="297">
        <v>40</v>
      </c>
      <c r="C52" s="303"/>
      <c r="D52" s="298"/>
      <c r="E52" s="303"/>
      <c r="F52" s="298"/>
      <c r="G52" s="299"/>
      <c r="H52" s="300"/>
      <c r="I52" s="320">
        <f t="shared" si="2"/>
        <v>465448.369999999</v>
      </c>
      <c r="J52" s="321"/>
      <c r="K52" s="312"/>
      <c r="L52" s="314"/>
      <c r="M52" s="315"/>
      <c r="N52" s="323"/>
    </row>
    <row r="53" s="275" customFormat="1" ht="27" customHeight="1" spans="1:13">
      <c r="A53" s="220" t="s">
        <v>43</v>
      </c>
      <c r="B53" s="304"/>
      <c r="C53" s="305"/>
      <c r="D53" s="306"/>
      <c r="E53" s="307">
        <f t="shared" ref="E53:H53" si="3">SUM(E13:E52)</f>
        <v>38146317.74</v>
      </c>
      <c r="F53" s="305"/>
      <c r="G53" s="307">
        <f t="shared" si="3"/>
        <v>37680869.37</v>
      </c>
      <c r="H53" s="296">
        <f t="shared" si="3"/>
        <v>-465448.369999999</v>
      </c>
      <c r="I53" s="324">
        <f>E53-G53+I12</f>
        <v>465448.369999997</v>
      </c>
      <c r="J53" s="305"/>
      <c r="K53" s="312"/>
      <c r="L53" s="314"/>
      <c r="M53" s="315"/>
    </row>
    <row r="54" s="275" customFormat="1" ht="15" customHeight="1" spans="1:13">
      <c r="A54" s="289" t="s">
        <v>44</v>
      </c>
      <c r="B54" s="308">
        <v>1</v>
      </c>
      <c r="C54" s="291"/>
      <c r="D54" s="291">
        <v>40589</v>
      </c>
      <c r="E54" s="292">
        <v>5444546.77</v>
      </c>
      <c r="F54" s="291">
        <v>40662</v>
      </c>
      <c r="G54" s="292">
        <f>827417.81</f>
        <v>827417.81</v>
      </c>
      <c r="H54" s="293">
        <f>SUM(G54:G58)-E54</f>
        <v>821939.810000001</v>
      </c>
      <c r="I54" s="317">
        <f>I53+E54-G54</f>
        <v>5082577.33</v>
      </c>
      <c r="J54" s="318"/>
      <c r="K54" s="312"/>
      <c r="L54" s="314"/>
      <c r="M54" s="315"/>
    </row>
    <row r="55" s="275" customFormat="1" ht="15" customHeight="1" spans="1:13">
      <c r="A55" s="294"/>
      <c r="B55" s="309">
        <v>2</v>
      </c>
      <c r="C55" s="281">
        <v>40574</v>
      </c>
      <c r="D55" s="281"/>
      <c r="E55" s="223"/>
      <c r="F55" s="281">
        <v>40663</v>
      </c>
      <c r="G55" s="223">
        <v>200000</v>
      </c>
      <c r="H55" s="296"/>
      <c r="I55" s="219">
        <f t="shared" ref="I55:I68" si="4">I54+E55-G55</f>
        <v>4882577.33</v>
      </c>
      <c r="J55" s="319"/>
      <c r="K55" s="312"/>
      <c r="L55" s="314"/>
      <c r="M55" s="315"/>
    </row>
    <row r="56" s="275" customFormat="1" ht="15" customHeight="1" spans="1:13">
      <c r="A56" s="294"/>
      <c r="B56" s="309">
        <v>3</v>
      </c>
      <c r="C56" s="281"/>
      <c r="D56" s="281"/>
      <c r="E56" s="223"/>
      <c r="F56" s="281">
        <v>40663</v>
      </c>
      <c r="G56" s="223">
        <v>3300000</v>
      </c>
      <c r="H56" s="296"/>
      <c r="I56" s="219">
        <f t="shared" si="4"/>
        <v>1582577.33</v>
      </c>
      <c r="J56" s="319"/>
      <c r="K56" s="312"/>
      <c r="L56" s="314"/>
      <c r="M56" s="315"/>
    </row>
    <row r="57" s="275" customFormat="1" ht="15" customHeight="1" spans="1:13">
      <c r="A57" s="294"/>
      <c r="B57" s="309">
        <v>4</v>
      </c>
      <c r="C57" s="281"/>
      <c r="D57" s="281"/>
      <c r="E57" s="223"/>
      <c r="F57" s="281">
        <v>40693</v>
      </c>
      <c r="G57" s="223">
        <v>939068.77</v>
      </c>
      <c r="H57" s="296"/>
      <c r="I57" s="219">
        <f t="shared" si="4"/>
        <v>643508.559999996</v>
      </c>
      <c r="J57" s="319"/>
      <c r="K57" s="312"/>
      <c r="L57" s="314"/>
      <c r="M57" s="315"/>
    </row>
    <row r="58" s="275" customFormat="1" ht="15" customHeight="1" spans="1:13">
      <c r="A58" s="294"/>
      <c r="B58" s="310">
        <v>5</v>
      </c>
      <c r="C58" s="298">
        <v>40602</v>
      </c>
      <c r="D58" s="298"/>
      <c r="E58" s="299"/>
      <c r="F58" s="298">
        <v>40693</v>
      </c>
      <c r="G58" s="299">
        <f>1000000</f>
        <v>1000000</v>
      </c>
      <c r="H58" s="300"/>
      <c r="I58" s="320">
        <f t="shared" si="4"/>
        <v>-356491.440000004</v>
      </c>
      <c r="J58" s="321"/>
      <c r="K58" s="312"/>
      <c r="L58" s="314"/>
      <c r="M58" s="315"/>
    </row>
    <row r="59" s="275" customFormat="1" ht="15" customHeight="1" spans="1:13">
      <c r="A59" s="294"/>
      <c r="B59" s="308">
        <v>6</v>
      </c>
      <c r="C59" s="291"/>
      <c r="D59" s="291">
        <v>40617</v>
      </c>
      <c r="E59" s="292">
        <v>3921400.47</v>
      </c>
      <c r="F59" s="291">
        <v>40693</v>
      </c>
      <c r="G59" s="292">
        <v>2500000</v>
      </c>
      <c r="H59" s="293">
        <f>SUM(G59:G60)-E59</f>
        <v>0</v>
      </c>
      <c r="I59" s="317">
        <f t="shared" si="4"/>
        <v>1064909.03</v>
      </c>
      <c r="J59" s="318"/>
      <c r="K59" s="312"/>
      <c r="L59" s="314"/>
      <c r="M59" s="315"/>
    </row>
    <row r="60" s="275" customFormat="1" ht="15" customHeight="1" spans="1:13">
      <c r="A60" s="294"/>
      <c r="B60" s="310">
        <v>7</v>
      </c>
      <c r="C60" s="298">
        <v>40633</v>
      </c>
      <c r="D60" s="298"/>
      <c r="E60" s="299"/>
      <c r="F60" s="298">
        <v>40724</v>
      </c>
      <c r="G60" s="299">
        <f>1421400.47</f>
        <v>1421400.47</v>
      </c>
      <c r="H60" s="300"/>
      <c r="I60" s="320">
        <f t="shared" si="4"/>
        <v>-356491.440000003</v>
      </c>
      <c r="J60" s="321"/>
      <c r="K60" s="312"/>
      <c r="L60" s="314"/>
      <c r="M60" s="315"/>
    </row>
    <row r="61" s="275" customFormat="1" ht="15" customHeight="1" spans="1:13">
      <c r="A61" s="294"/>
      <c r="B61" s="308">
        <v>8</v>
      </c>
      <c r="C61" s="291">
        <v>40631</v>
      </c>
      <c r="D61" s="291">
        <v>40648</v>
      </c>
      <c r="E61" s="292">
        <v>5529320.82</v>
      </c>
      <c r="F61" s="281">
        <v>40724</v>
      </c>
      <c r="G61" s="223">
        <v>1000000</v>
      </c>
      <c r="H61" s="293">
        <f>SUM(G61:G65)-E61-E62</f>
        <v>-363833.44</v>
      </c>
      <c r="I61" s="317">
        <f t="shared" si="4"/>
        <v>4172829.38</v>
      </c>
      <c r="J61" s="318"/>
      <c r="K61" s="312"/>
      <c r="L61" s="314"/>
      <c r="M61" s="315"/>
    </row>
    <row r="62" s="275" customFormat="1" ht="15" customHeight="1" spans="1:13">
      <c r="A62" s="294"/>
      <c r="B62" s="309">
        <v>9</v>
      </c>
      <c r="C62" s="281"/>
      <c r="D62" s="281">
        <v>40648</v>
      </c>
      <c r="E62" s="223">
        <v>362909.44</v>
      </c>
      <c r="F62" s="281">
        <v>40724</v>
      </c>
      <c r="G62" s="223">
        <v>800000</v>
      </c>
      <c r="H62" s="296"/>
      <c r="I62" s="219">
        <f t="shared" si="4"/>
        <v>3735738.82</v>
      </c>
      <c r="J62" s="319"/>
      <c r="K62" s="312"/>
      <c r="L62" s="314"/>
      <c r="M62" s="315"/>
    </row>
    <row r="63" s="275" customFormat="1" ht="15" customHeight="1" spans="1:13">
      <c r="A63" s="294"/>
      <c r="B63" s="309">
        <v>10</v>
      </c>
      <c r="C63" s="281"/>
      <c r="D63" s="281"/>
      <c r="E63" s="223"/>
      <c r="F63" s="281">
        <v>40724</v>
      </c>
      <c r="G63" s="223">
        <v>1000000</v>
      </c>
      <c r="H63" s="296"/>
      <c r="I63" s="219">
        <f t="shared" si="4"/>
        <v>2735738.82</v>
      </c>
      <c r="J63" s="319"/>
      <c r="K63" s="312"/>
      <c r="L63" s="314"/>
      <c r="M63" s="315"/>
    </row>
    <row r="64" s="275" customFormat="1" ht="15" customHeight="1" spans="1:13">
      <c r="A64" s="294"/>
      <c r="B64" s="309">
        <v>11</v>
      </c>
      <c r="C64" s="281"/>
      <c r="D64" s="281"/>
      <c r="E64" s="223"/>
      <c r="F64" s="281">
        <v>40731</v>
      </c>
      <c r="G64" s="223">
        <v>2000000</v>
      </c>
      <c r="H64" s="296"/>
      <c r="I64" s="219">
        <f t="shared" si="4"/>
        <v>735738.819999998</v>
      </c>
      <c r="J64" s="319"/>
      <c r="K64" s="312"/>
      <c r="L64" s="314"/>
      <c r="M64" s="315"/>
    </row>
    <row r="65" s="275" customFormat="1" ht="15" customHeight="1" spans="1:13">
      <c r="A65" s="294"/>
      <c r="B65" s="309">
        <v>12</v>
      </c>
      <c r="C65" s="281"/>
      <c r="D65" s="281"/>
      <c r="E65" s="223"/>
      <c r="F65" s="281">
        <v>40744</v>
      </c>
      <c r="G65" s="223">
        <v>728396.82</v>
      </c>
      <c r="H65" s="296"/>
      <c r="I65" s="219">
        <f t="shared" si="4"/>
        <v>7341.99999999756</v>
      </c>
      <c r="J65" s="319"/>
      <c r="K65" s="312"/>
      <c r="L65" s="314"/>
      <c r="M65" s="315"/>
    </row>
    <row r="66" s="275" customFormat="1" ht="15" customHeight="1" spans="1:13">
      <c r="A66" s="294"/>
      <c r="B66" s="309">
        <v>13</v>
      </c>
      <c r="C66" s="281"/>
      <c r="D66" s="281"/>
      <c r="E66" s="223"/>
      <c r="F66" s="325"/>
      <c r="G66" s="326"/>
      <c r="H66" s="296"/>
      <c r="I66" s="219">
        <f t="shared" si="4"/>
        <v>7341.99999999756</v>
      </c>
      <c r="J66" s="319"/>
      <c r="K66" s="312"/>
      <c r="L66" s="314"/>
      <c r="M66" s="315"/>
    </row>
    <row r="67" s="275" customFormat="1" ht="15" customHeight="1" spans="1:13">
      <c r="A67" s="294"/>
      <c r="B67" s="310">
        <v>14</v>
      </c>
      <c r="C67" s="298"/>
      <c r="D67" s="298"/>
      <c r="E67" s="299"/>
      <c r="F67" s="298"/>
      <c r="G67" s="299"/>
      <c r="H67" s="300"/>
      <c r="I67" s="320">
        <f t="shared" si="4"/>
        <v>7341.99999999756</v>
      </c>
      <c r="J67" s="321"/>
      <c r="K67" s="312"/>
      <c r="L67" s="314"/>
      <c r="M67" s="315"/>
    </row>
    <row r="68" s="275" customFormat="1" ht="15" customHeight="1" spans="1:13">
      <c r="A68" s="294"/>
      <c r="B68" s="308">
        <v>15</v>
      </c>
      <c r="C68" s="291">
        <v>40663</v>
      </c>
      <c r="D68" s="291">
        <v>40678</v>
      </c>
      <c r="E68" s="292">
        <v>6787296.55</v>
      </c>
      <c r="F68" s="291">
        <v>40744</v>
      </c>
      <c r="G68" s="292">
        <f>2000000</f>
        <v>2000000</v>
      </c>
      <c r="H68" s="293">
        <f>SUM(G68:G71)-E68</f>
        <v>-17996</v>
      </c>
      <c r="I68" s="317">
        <f t="shared" si="4"/>
        <v>4794638.55</v>
      </c>
      <c r="J68" s="318"/>
      <c r="K68" s="312"/>
      <c r="M68" s="315"/>
    </row>
    <row r="69" s="275" customFormat="1" ht="15" customHeight="1" spans="1:13">
      <c r="A69" s="294"/>
      <c r="B69" s="309">
        <v>16</v>
      </c>
      <c r="C69" s="281"/>
      <c r="D69" s="281"/>
      <c r="E69" s="223"/>
      <c r="F69" s="281"/>
      <c r="G69" s="223"/>
      <c r="H69" s="296"/>
      <c r="I69" s="219">
        <f t="shared" ref="I69:I99" si="5">I68+E69-G69</f>
        <v>4794638.55</v>
      </c>
      <c r="J69" s="319"/>
      <c r="K69" s="312"/>
      <c r="M69" s="315"/>
    </row>
    <row r="70" s="275" customFormat="1" ht="15" customHeight="1" spans="1:11">
      <c r="A70" s="294"/>
      <c r="B70" s="309">
        <v>17</v>
      </c>
      <c r="C70" s="281"/>
      <c r="D70" s="281"/>
      <c r="E70" s="223"/>
      <c r="F70" s="281">
        <v>40765</v>
      </c>
      <c r="G70" s="223">
        <v>4000000</v>
      </c>
      <c r="H70" s="296"/>
      <c r="I70" s="219">
        <f t="shared" si="5"/>
        <v>794638.549999997</v>
      </c>
      <c r="J70" s="342"/>
      <c r="K70" s="312"/>
    </row>
    <row r="71" s="275" customFormat="1" ht="15" customHeight="1" spans="1:11">
      <c r="A71" s="294"/>
      <c r="B71" s="310">
        <v>18</v>
      </c>
      <c r="C71" s="298"/>
      <c r="D71" s="327"/>
      <c r="E71" s="299"/>
      <c r="F71" s="298">
        <v>40780</v>
      </c>
      <c r="G71" s="299">
        <v>769300.55</v>
      </c>
      <c r="H71" s="300"/>
      <c r="I71" s="320">
        <f t="shared" si="5"/>
        <v>25337.999999997</v>
      </c>
      <c r="J71" s="343"/>
      <c r="K71" s="312"/>
    </row>
    <row r="72" s="275" customFormat="1" ht="15" customHeight="1" spans="1:11">
      <c r="A72" s="294"/>
      <c r="B72" s="308">
        <v>19</v>
      </c>
      <c r="C72" s="291">
        <v>40692</v>
      </c>
      <c r="D72" s="328">
        <v>40709</v>
      </c>
      <c r="E72" s="292">
        <v>6746706.75</v>
      </c>
      <c r="F72" s="291">
        <v>40788</v>
      </c>
      <c r="G72" s="292">
        <f>500000</f>
        <v>500000</v>
      </c>
      <c r="H72" s="293">
        <f>SUM(G72:G75)-E72</f>
        <v>-50828</v>
      </c>
      <c r="I72" s="317">
        <f t="shared" si="5"/>
        <v>6272044.75</v>
      </c>
      <c r="J72" s="318"/>
      <c r="K72" s="312"/>
    </row>
    <row r="73" s="275" customFormat="1" ht="15" customHeight="1" spans="1:11">
      <c r="A73" s="294"/>
      <c r="B73" s="309">
        <v>20</v>
      </c>
      <c r="C73" s="281"/>
      <c r="D73" s="329"/>
      <c r="E73" s="223"/>
      <c r="F73" s="281"/>
      <c r="G73" s="223"/>
      <c r="H73" s="296"/>
      <c r="I73" s="219">
        <f t="shared" si="5"/>
        <v>6272044.75</v>
      </c>
      <c r="J73" s="319"/>
      <c r="K73" s="312"/>
    </row>
    <row r="74" s="275" customFormat="1" ht="15" customHeight="1" spans="1:11">
      <c r="A74" s="294"/>
      <c r="B74" s="309">
        <v>21</v>
      </c>
      <c r="C74" s="281"/>
      <c r="D74" s="329"/>
      <c r="E74" s="223"/>
      <c r="F74" s="281">
        <v>40794</v>
      </c>
      <c r="G74" s="223">
        <v>1000000</v>
      </c>
      <c r="H74" s="296"/>
      <c r="I74" s="219">
        <f t="shared" si="5"/>
        <v>5272044.75</v>
      </c>
      <c r="J74" s="319"/>
      <c r="K74" s="312"/>
    </row>
    <row r="75" s="275" customFormat="1" ht="15" customHeight="1" spans="1:11">
      <c r="A75" s="294"/>
      <c r="B75" s="310">
        <v>22</v>
      </c>
      <c r="C75" s="298"/>
      <c r="D75" s="327"/>
      <c r="E75" s="299"/>
      <c r="F75" s="298">
        <v>40805</v>
      </c>
      <c r="G75" s="299">
        <v>5195878.75</v>
      </c>
      <c r="H75" s="300"/>
      <c r="I75" s="320">
        <f t="shared" si="5"/>
        <v>76165.9999999972</v>
      </c>
      <c r="J75" s="321"/>
      <c r="K75" s="312"/>
    </row>
    <row r="76" s="275" customFormat="1" ht="15" customHeight="1" spans="1:11">
      <c r="A76" s="294"/>
      <c r="B76" s="308">
        <v>23</v>
      </c>
      <c r="C76" s="291"/>
      <c r="D76" s="328">
        <v>40739</v>
      </c>
      <c r="E76" s="292">
        <v>7208815.64</v>
      </c>
      <c r="F76" s="291"/>
      <c r="G76" s="292"/>
      <c r="H76" s="293">
        <f>G77-E76-E77</f>
        <v>-49367.9999999995</v>
      </c>
      <c r="I76" s="317">
        <f t="shared" si="5"/>
        <v>7284981.64</v>
      </c>
      <c r="J76" s="318"/>
      <c r="K76" s="312"/>
    </row>
    <row r="77" s="275" customFormat="1" ht="15" customHeight="1" spans="1:11">
      <c r="A77" s="294"/>
      <c r="B77" s="309">
        <v>24</v>
      </c>
      <c r="C77" s="281"/>
      <c r="D77" s="329">
        <v>40739</v>
      </c>
      <c r="E77" s="223">
        <v>527825.52</v>
      </c>
      <c r="F77" s="281">
        <v>40828</v>
      </c>
      <c r="G77" s="223">
        <v>7687273.16</v>
      </c>
      <c r="H77" s="296"/>
      <c r="I77" s="219">
        <f t="shared" si="5"/>
        <v>125533.999999996</v>
      </c>
      <c r="J77" s="319"/>
      <c r="K77" s="312"/>
    </row>
    <row r="78" s="275" customFormat="1" ht="15" customHeight="1" spans="1:11">
      <c r="A78" s="294"/>
      <c r="B78" s="309">
        <v>25</v>
      </c>
      <c r="C78" s="281"/>
      <c r="D78" s="329"/>
      <c r="E78" s="223"/>
      <c r="F78" s="281"/>
      <c r="G78" s="223"/>
      <c r="H78" s="296"/>
      <c r="I78" s="219">
        <f t="shared" si="5"/>
        <v>125533.999999996</v>
      </c>
      <c r="J78" s="319"/>
      <c r="K78" s="312"/>
    </row>
    <row r="79" s="275" customFormat="1" ht="15" customHeight="1" spans="1:11">
      <c r="A79" s="294"/>
      <c r="B79" s="310">
        <v>26</v>
      </c>
      <c r="C79" s="298">
        <v>40723</v>
      </c>
      <c r="D79" s="327"/>
      <c r="E79" s="299"/>
      <c r="F79" s="298"/>
      <c r="G79" s="299"/>
      <c r="H79" s="300"/>
      <c r="I79" s="320">
        <f t="shared" si="5"/>
        <v>125533.999999996</v>
      </c>
      <c r="J79" s="321"/>
      <c r="K79" s="312"/>
    </row>
    <row r="80" s="275" customFormat="1" ht="15" customHeight="1" spans="1:13">
      <c r="A80" s="294"/>
      <c r="B80" s="308">
        <v>27</v>
      </c>
      <c r="C80" s="291">
        <v>40723</v>
      </c>
      <c r="D80" s="328"/>
      <c r="E80" s="292"/>
      <c r="F80" s="291"/>
      <c r="G80" s="292"/>
      <c r="H80" s="293">
        <f>SUM(G80:G83)-E81</f>
        <v>0</v>
      </c>
      <c r="I80" s="317">
        <f t="shared" si="5"/>
        <v>125533.999999996</v>
      </c>
      <c r="J80" s="318"/>
      <c r="K80" s="312"/>
      <c r="M80" s="315"/>
    </row>
    <row r="81" s="275" customFormat="1" ht="15" customHeight="1" spans="1:11">
      <c r="A81" s="294"/>
      <c r="B81" s="309">
        <v>28</v>
      </c>
      <c r="C81" s="281"/>
      <c r="D81" s="329">
        <v>40754</v>
      </c>
      <c r="E81" s="223">
        <v>6635759.13</v>
      </c>
      <c r="F81" s="281">
        <v>40849</v>
      </c>
      <c r="G81" s="223">
        <v>635759.13</v>
      </c>
      <c r="H81" s="296"/>
      <c r="I81" s="219">
        <f t="shared" si="5"/>
        <v>6125534</v>
      </c>
      <c r="J81" s="319"/>
      <c r="K81" s="312"/>
    </row>
    <row r="82" s="275" customFormat="1" ht="15" customHeight="1" spans="1:11">
      <c r="A82" s="294"/>
      <c r="B82" s="309">
        <v>29</v>
      </c>
      <c r="C82" s="281"/>
      <c r="D82" s="329"/>
      <c r="E82" s="223"/>
      <c r="F82" s="281">
        <v>40854</v>
      </c>
      <c r="G82" s="223">
        <v>6000000</v>
      </c>
      <c r="H82" s="296"/>
      <c r="I82" s="219">
        <f t="shared" si="5"/>
        <v>125533.999999996</v>
      </c>
      <c r="J82" s="319"/>
      <c r="K82" s="312"/>
    </row>
    <row r="83" s="275" customFormat="1" ht="15" customHeight="1" spans="1:11">
      <c r="A83" s="294"/>
      <c r="B83" s="310">
        <v>30</v>
      </c>
      <c r="C83" s="298"/>
      <c r="D83" s="327"/>
      <c r="E83" s="299"/>
      <c r="F83" s="298"/>
      <c r="G83" s="299"/>
      <c r="H83" s="300"/>
      <c r="I83" s="320">
        <f t="shared" si="5"/>
        <v>125533.999999996</v>
      </c>
      <c r="J83" s="321"/>
      <c r="K83" s="312"/>
    </row>
    <row r="84" s="275" customFormat="1" ht="15" customHeight="1" spans="1:11">
      <c r="A84" s="294"/>
      <c r="B84" s="308">
        <v>31</v>
      </c>
      <c r="C84" s="291">
        <v>40753</v>
      </c>
      <c r="D84" s="328"/>
      <c r="E84" s="292"/>
      <c r="F84" s="291"/>
      <c r="G84" s="292"/>
      <c r="H84" s="330"/>
      <c r="I84" s="317">
        <f t="shared" si="5"/>
        <v>125533.999999996</v>
      </c>
      <c r="J84" s="318"/>
      <c r="K84" s="312"/>
    </row>
    <row r="85" s="275" customFormat="1" ht="15" customHeight="1" spans="1:11">
      <c r="A85" s="294"/>
      <c r="B85" s="309">
        <v>32</v>
      </c>
      <c r="C85" s="281"/>
      <c r="D85" s="329">
        <v>40770</v>
      </c>
      <c r="E85" s="223">
        <v>3566540.25</v>
      </c>
      <c r="F85" s="281">
        <v>40865</v>
      </c>
      <c r="G85" s="223">
        <v>3564296.25</v>
      </c>
      <c r="H85" s="283">
        <f>G85-E85</f>
        <v>-2244</v>
      </c>
      <c r="I85" s="219">
        <f t="shared" si="5"/>
        <v>127777.999999996</v>
      </c>
      <c r="J85" s="319"/>
      <c r="K85" s="312"/>
    </row>
    <row r="86" s="275" customFormat="1" ht="15" customHeight="1" spans="1:11">
      <c r="A86" s="294"/>
      <c r="B86" s="310">
        <v>33</v>
      </c>
      <c r="C86" s="298">
        <v>40770</v>
      </c>
      <c r="D86" s="327"/>
      <c r="E86" s="299"/>
      <c r="F86" s="298"/>
      <c r="G86" s="299"/>
      <c r="H86" s="331"/>
      <c r="I86" s="320">
        <f t="shared" si="5"/>
        <v>127777.999999996</v>
      </c>
      <c r="J86" s="321"/>
      <c r="K86" s="312"/>
    </row>
    <row r="87" s="275" customFormat="1" ht="15" customHeight="1" spans="1:11">
      <c r="A87" s="294"/>
      <c r="B87" s="308">
        <v>34</v>
      </c>
      <c r="C87" s="291">
        <v>40786</v>
      </c>
      <c r="D87" s="328">
        <v>40785</v>
      </c>
      <c r="E87" s="292">
        <v>3024895.77</v>
      </c>
      <c r="F87" s="291">
        <v>40885</v>
      </c>
      <c r="G87" s="292">
        <v>2000000</v>
      </c>
      <c r="H87" s="293">
        <f>SUM(G87:G88)-E87</f>
        <v>0</v>
      </c>
      <c r="I87" s="317">
        <f t="shared" si="5"/>
        <v>1152673.77</v>
      </c>
      <c r="J87" s="318"/>
      <c r="K87" s="312"/>
    </row>
    <row r="88" s="275" customFormat="1" ht="15" customHeight="1" spans="1:11">
      <c r="A88" s="294"/>
      <c r="B88" s="310">
        <v>35</v>
      </c>
      <c r="C88" s="298"/>
      <c r="D88" s="327"/>
      <c r="E88" s="299"/>
      <c r="F88" s="298">
        <v>40889</v>
      </c>
      <c r="G88" s="299">
        <v>1024895.77</v>
      </c>
      <c r="H88" s="300"/>
      <c r="I88" s="320">
        <f t="shared" si="5"/>
        <v>127777.999999996</v>
      </c>
      <c r="J88" s="321"/>
      <c r="K88" s="312"/>
    </row>
    <row r="89" s="275" customFormat="1" ht="15" customHeight="1" spans="1:11">
      <c r="A89" s="294"/>
      <c r="B89" s="308">
        <v>36</v>
      </c>
      <c r="C89" s="291">
        <v>40801</v>
      </c>
      <c r="D89" s="328">
        <v>40801</v>
      </c>
      <c r="E89" s="292">
        <v>2714197.59</v>
      </c>
      <c r="F89" s="291">
        <v>40892</v>
      </c>
      <c r="G89" s="292">
        <v>1000000</v>
      </c>
      <c r="H89" s="293">
        <f>SUM(G89:G90)-E89</f>
        <v>0</v>
      </c>
      <c r="I89" s="317">
        <f t="shared" si="5"/>
        <v>1841975.59</v>
      </c>
      <c r="J89" s="318"/>
      <c r="K89" s="312"/>
    </row>
    <row r="90" s="275" customFormat="1" ht="15" customHeight="1" spans="1:11">
      <c r="A90" s="294"/>
      <c r="B90" s="310">
        <v>37</v>
      </c>
      <c r="C90" s="332"/>
      <c r="D90" s="332"/>
      <c r="E90" s="332"/>
      <c r="F90" s="298">
        <v>40900</v>
      </c>
      <c r="G90" s="299">
        <v>1714197.59</v>
      </c>
      <c r="H90" s="300"/>
      <c r="I90" s="320">
        <f t="shared" si="5"/>
        <v>127777.999999996</v>
      </c>
      <c r="J90" s="321"/>
      <c r="K90" s="312"/>
    </row>
    <row r="91" s="275" customFormat="1" ht="15" customHeight="1" spans="1:11">
      <c r="A91" s="294"/>
      <c r="B91" s="308">
        <v>38</v>
      </c>
      <c r="C91" s="291">
        <v>40816</v>
      </c>
      <c r="D91" s="328">
        <v>40816</v>
      </c>
      <c r="E91" s="292">
        <v>3499873.65</v>
      </c>
      <c r="F91" s="291">
        <v>40907</v>
      </c>
      <c r="G91" s="292">
        <v>2000000</v>
      </c>
      <c r="H91" s="333"/>
      <c r="I91" s="317">
        <f t="shared" si="5"/>
        <v>1627651.65</v>
      </c>
      <c r="J91" s="318"/>
      <c r="K91" s="312"/>
    </row>
    <row r="92" s="275" customFormat="1" ht="15" customHeight="1" spans="1:11">
      <c r="A92" s="294"/>
      <c r="B92" s="309">
        <v>39</v>
      </c>
      <c r="C92" s="281"/>
      <c r="D92" s="329"/>
      <c r="E92" s="223"/>
      <c r="F92" s="281">
        <v>40907</v>
      </c>
      <c r="G92" s="223">
        <v>499873.65</v>
      </c>
      <c r="H92" s="334"/>
      <c r="I92" s="219">
        <f t="shared" si="5"/>
        <v>1127778</v>
      </c>
      <c r="J92" s="319"/>
      <c r="K92" s="312"/>
    </row>
    <row r="93" s="275" customFormat="1" ht="15" customHeight="1" spans="1:11">
      <c r="A93" s="294"/>
      <c r="B93" s="310">
        <v>40</v>
      </c>
      <c r="C93" s="298"/>
      <c r="D93" s="327"/>
      <c r="E93" s="299"/>
      <c r="F93" s="298"/>
      <c r="G93" s="299"/>
      <c r="H93" s="335"/>
      <c r="I93" s="320">
        <f t="shared" si="5"/>
        <v>1127778</v>
      </c>
      <c r="J93" s="321"/>
      <c r="K93" s="312"/>
    </row>
    <row r="94" s="275" customFormat="1" ht="15" customHeight="1" spans="1:11">
      <c r="A94" s="305"/>
      <c r="B94" s="336">
        <v>41</v>
      </c>
      <c r="C94" s="325">
        <v>40830</v>
      </c>
      <c r="D94" s="337">
        <v>40831</v>
      </c>
      <c r="E94" s="326">
        <v>2473633.89</v>
      </c>
      <c r="F94" s="325"/>
      <c r="G94" s="326"/>
      <c r="H94" s="338"/>
      <c r="I94" s="344">
        <f t="shared" si="5"/>
        <v>3601411.89</v>
      </c>
      <c r="J94" s="336"/>
      <c r="K94" s="312"/>
    </row>
    <row r="95" s="275" customFormat="1" ht="15" customHeight="1" spans="1:11">
      <c r="A95" s="305"/>
      <c r="B95" s="133">
        <v>42</v>
      </c>
      <c r="C95" s="281">
        <v>40846</v>
      </c>
      <c r="D95" s="329">
        <v>40862</v>
      </c>
      <c r="E95" s="223">
        <v>4008997.98</v>
      </c>
      <c r="F95" s="281"/>
      <c r="G95" s="223"/>
      <c r="H95" s="283"/>
      <c r="I95" s="219">
        <f t="shared" si="5"/>
        <v>7610409.87</v>
      </c>
      <c r="J95" s="133"/>
      <c r="K95" s="312"/>
    </row>
    <row r="96" s="275" customFormat="1" ht="15" customHeight="1" spans="1:11">
      <c r="A96" s="305"/>
      <c r="B96" s="133">
        <v>43</v>
      </c>
      <c r="C96" s="281">
        <v>40861</v>
      </c>
      <c r="D96" s="329">
        <v>40862</v>
      </c>
      <c r="E96" s="223">
        <v>3711503.25</v>
      </c>
      <c r="F96" s="281"/>
      <c r="G96" s="223"/>
      <c r="H96" s="283"/>
      <c r="I96" s="219">
        <f t="shared" si="5"/>
        <v>11321913.12</v>
      </c>
      <c r="J96" s="133"/>
      <c r="K96" s="312"/>
    </row>
    <row r="97" s="275" customFormat="1" ht="15" customHeight="1" spans="1:11">
      <c r="A97" s="305"/>
      <c r="B97" s="133">
        <v>44</v>
      </c>
      <c r="C97" s="281">
        <v>40877</v>
      </c>
      <c r="D97" s="329">
        <v>40877</v>
      </c>
      <c r="E97" s="223">
        <v>2836083.51</v>
      </c>
      <c r="F97" s="281"/>
      <c r="G97" s="223"/>
      <c r="H97" s="283"/>
      <c r="I97" s="219">
        <f t="shared" si="5"/>
        <v>14157996.63</v>
      </c>
      <c r="J97" s="133"/>
      <c r="K97" s="312"/>
    </row>
    <row r="98" s="275" customFormat="1" ht="15" customHeight="1" spans="1:11">
      <c r="A98" s="305"/>
      <c r="B98" s="133">
        <v>45</v>
      </c>
      <c r="C98" s="281">
        <v>40891</v>
      </c>
      <c r="D98" s="329">
        <v>40892</v>
      </c>
      <c r="E98" s="223">
        <v>3964071.15</v>
      </c>
      <c r="F98" s="281"/>
      <c r="G98" s="223"/>
      <c r="H98" s="283"/>
      <c r="I98" s="219">
        <f t="shared" si="5"/>
        <v>18122067.78</v>
      </c>
      <c r="J98" s="133"/>
      <c r="K98" s="312"/>
    </row>
    <row r="99" s="275" customFormat="1" ht="15" customHeight="1" spans="1:11">
      <c r="A99" s="305"/>
      <c r="B99" s="133">
        <v>46</v>
      </c>
      <c r="C99" s="281">
        <v>40900</v>
      </c>
      <c r="D99" s="329">
        <v>40900</v>
      </c>
      <c r="E99" s="223">
        <v>1217166.21</v>
      </c>
      <c r="F99" s="281"/>
      <c r="G99" s="223"/>
      <c r="H99" s="283"/>
      <c r="I99" s="219">
        <f t="shared" si="5"/>
        <v>19339233.99</v>
      </c>
      <c r="J99" s="133"/>
      <c r="K99" s="312"/>
    </row>
    <row r="100" s="275" customFormat="1" ht="15" customHeight="1" spans="1:14">
      <c r="A100" s="336"/>
      <c r="B100" s="133">
        <v>47</v>
      </c>
      <c r="C100" s="281"/>
      <c r="D100" s="329"/>
      <c r="E100" s="223"/>
      <c r="F100" s="281"/>
      <c r="G100" s="223"/>
      <c r="H100" s="283"/>
      <c r="I100" s="219"/>
      <c r="J100" s="133"/>
      <c r="K100" s="312"/>
      <c r="N100" s="345"/>
    </row>
    <row r="101" s="275" customFormat="1" ht="23.25" customHeight="1" spans="1:14">
      <c r="A101" s="220" t="s">
        <v>45</v>
      </c>
      <c r="B101" s="339"/>
      <c r="C101" s="133"/>
      <c r="D101" s="222"/>
      <c r="E101" s="223">
        <f>SUM(E54:E100)</f>
        <v>74181544.34</v>
      </c>
      <c r="F101" s="133"/>
      <c r="G101" s="223">
        <f>SUM(G54:G100)</f>
        <v>55307758.72</v>
      </c>
      <c r="H101" s="283"/>
      <c r="I101" s="219">
        <f>I53+E101-G101</f>
        <v>19339233.99</v>
      </c>
      <c r="J101" s="133"/>
      <c r="K101" s="312"/>
      <c r="N101" s="346"/>
    </row>
    <row r="102" s="275" customFormat="1" ht="19.5" hidden="1" customHeight="1" spans="1:14">
      <c r="A102" s="285" t="s">
        <v>46</v>
      </c>
      <c r="B102" s="133">
        <v>1</v>
      </c>
      <c r="C102" s="281">
        <v>40938</v>
      </c>
      <c r="D102" s="281">
        <v>40954</v>
      </c>
      <c r="E102" s="223">
        <v>3986270.73</v>
      </c>
      <c r="F102" s="281">
        <v>40912</v>
      </c>
      <c r="G102" s="223">
        <v>1000000</v>
      </c>
      <c r="H102" s="283"/>
      <c r="I102" s="219">
        <f>I101+E102-G102</f>
        <v>22325504.72</v>
      </c>
      <c r="J102" s="133"/>
      <c r="K102" s="312"/>
      <c r="M102" s="315">
        <f>E102/1.17</f>
        <v>3407069</v>
      </c>
      <c r="N102" s="315"/>
    </row>
    <row r="103" hidden="1" spans="1:13">
      <c r="A103" s="305"/>
      <c r="B103" s="133">
        <v>2</v>
      </c>
      <c r="C103" s="281">
        <v>40967</v>
      </c>
      <c r="D103" s="281">
        <v>40977</v>
      </c>
      <c r="E103" s="223">
        <v>5353808.85</v>
      </c>
      <c r="F103" s="281">
        <v>40917</v>
      </c>
      <c r="G103" s="223">
        <v>1471873.89</v>
      </c>
      <c r="H103" s="283"/>
      <c r="I103" s="219">
        <f t="shared" ref="I103:I116" si="6">I102+E103-G103</f>
        <v>26207439.68</v>
      </c>
      <c r="J103" s="133"/>
      <c r="M103" s="315">
        <f t="shared" ref="M103:M121" si="7">E103/1.17</f>
        <v>4575905</v>
      </c>
    </row>
    <row r="104" hidden="1" spans="1:13">
      <c r="A104" s="305"/>
      <c r="B104" s="133">
        <v>3</v>
      </c>
      <c r="C104" s="281">
        <v>40967</v>
      </c>
      <c r="D104" s="281">
        <v>40998</v>
      </c>
      <c r="E104" s="223">
        <v>242464.95</v>
      </c>
      <c r="F104" s="281">
        <v>40924</v>
      </c>
      <c r="G104" s="223">
        <v>2000000</v>
      </c>
      <c r="H104" s="283"/>
      <c r="I104" s="219">
        <f t="shared" si="6"/>
        <v>24449904.63</v>
      </c>
      <c r="J104" s="133" t="s">
        <v>47</v>
      </c>
      <c r="M104" s="315">
        <f t="shared" si="7"/>
        <v>207235</v>
      </c>
    </row>
    <row r="105" hidden="1" spans="1:13">
      <c r="A105" s="305"/>
      <c r="B105" s="133">
        <v>4</v>
      </c>
      <c r="C105" s="281">
        <v>40998</v>
      </c>
      <c r="D105" s="281">
        <v>40999</v>
      </c>
      <c r="E105" s="223">
        <v>4294389.06</v>
      </c>
      <c r="F105" s="281">
        <v>40942</v>
      </c>
      <c r="G105" s="223">
        <v>2500000</v>
      </c>
      <c r="H105" s="283"/>
      <c r="I105" s="219">
        <f t="shared" si="6"/>
        <v>26244293.69</v>
      </c>
      <c r="J105" s="133" t="s">
        <v>48</v>
      </c>
      <c r="M105" s="315">
        <f t="shared" si="7"/>
        <v>3670418</v>
      </c>
    </row>
    <row r="106" hidden="1" spans="1:13">
      <c r="A106" s="305"/>
      <c r="B106" s="133">
        <v>5</v>
      </c>
      <c r="C106" s="281">
        <v>40998</v>
      </c>
      <c r="D106" s="281">
        <v>40999</v>
      </c>
      <c r="E106" s="223">
        <v>367314.48</v>
      </c>
      <c r="F106" s="281">
        <v>40946</v>
      </c>
      <c r="G106" s="223">
        <v>508997.98</v>
      </c>
      <c r="H106" s="283"/>
      <c r="I106" s="219">
        <f t="shared" si="6"/>
        <v>26102610.19</v>
      </c>
      <c r="J106" s="133" t="s">
        <v>49</v>
      </c>
      <c r="M106" s="315">
        <f t="shared" si="7"/>
        <v>313944</v>
      </c>
    </row>
    <row r="107" hidden="1" spans="1:13">
      <c r="A107" s="305"/>
      <c r="B107" s="133">
        <v>6</v>
      </c>
      <c r="C107" s="281">
        <v>41014</v>
      </c>
      <c r="D107" s="281">
        <v>41014</v>
      </c>
      <c r="E107" s="223">
        <v>1732224.78</v>
      </c>
      <c r="F107" s="281">
        <v>40952</v>
      </c>
      <c r="G107" s="223">
        <v>2411503.25</v>
      </c>
      <c r="H107" s="283"/>
      <c r="I107" s="219">
        <f t="shared" si="6"/>
        <v>25423331.72</v>
      </c>
      <c r="J107" s="133"/>
      <c r="M107" s="315">
        <f t="shared" si="7"/>
        <v>1480534</v>
      </c>
    </row>
    <row r="108" hidden="1" spans="1:13">
      <c r="A108" s="305"/>
      <c r="B108" s="133">
        <v>7</v>
      </c>
      <c r="C108" s="281">
        <v>41027</v>
      </c>
      <c r="D108" s="281">
        <v>41027</v>
      </c>
      <c r="E108" s="223">
        <v>1049387.04</v>
      </c>
      <c r="F108" s="281">
        <v>40954</v>
      </c>
      <c r="G108" s="223">
        <v>1300000</v>
      </c>
      <c r="H108" s="283"/>
      <c r="I108" s="219">
        <f t="shared" si="6"/>
        <v>25172718.76</v>
      </c>
      <c r="J108" s="133"/>
      <c r="M108" s="315">
        <f t="shared" si="7"/>
        <v>896912</v>
      </c>
    </row>
    <row r="109" hidden="1" spans="1:13">
      <c r="A109" s="305"/>
      <c r="B109" s="133">
        <v>8</v>
      </c>
      <c r="C109" s="281">
        <v>41044</v>
      </c>
      <c r="D109" s="281">
        <v>41044</v>
      </c>
      <c r="E109" s="223">
        <v>1275735.24</v>
      </c>
      <c r="F109" s="281">
        <v>40956</v>
      </c>
      <c r="G109" s="223">
        <v>2836083.51</v>
      </c>
      <c r="H109" s="283"/>
      <c r="I109" s="219">
        <f t="shared" si="6"/>
        <v>23612370.49</v>
      </c>
      <c r="J109" s="133"/>
      <c r="M109" s="315">
        <f t="shared" si="7"/>
        <v>1090372</v>
      </c>
    </row>
    <row r="110" hidden="1" spans="1:13">
      <c r="A110" s="305"/>
      <c r="B110" s="133">
        <v>9</v>
      </c>
      <c r="C110" s="281">
        <v>41059</v>
      </c>
      <c r="D110" s="281">
        <v>41059</v>
      </c>
      <c r="E110" s="223">
        <v>1685982.87</v>
      </c>
      <c r="F110" s="281">
        <v>40982</v>
      </c>
      <c r="G110" s="223">
        <v>2500000</v>
      </c>
      <c r="H110" s="283"/>
      <c r="I110" s="219">
        <f t="shared" si="6"/>
        <v>22798353.36</v>
      </c>
      <c r="J110" s="133"/>
      <c r="M110" s="315">
        <f t="shared" si="7"/>
        <v>1441011</v>
      </c>
    </row>
    <row r="111" hidden="1" spans="1:13">
      <c r="A111" s="305"/>
      <c r="B111" s="133">
        <v>10</v>
      </c>
      <c r="C111" s="281">
        <v>41075</v>
      </c>
      <c r="D111" s="281">
        <v>41075</v>
      </c>
      <c r="E111" s="223">
        <v>1262210.04</v>
      </c>
      <c r="F111" s="281">
        <v>40990</v>
      </c>
      <c r="G111" s="223">
        <v>1461805.15</v>
      </c>
      <c r="H111" s="283"/>
      <c r="I111" s="219">
        <f t="shared" si="6"/>
        <v>22598758.25</v>
      </c>
      <c r="J111" s="133"/>
      <c r="M111" s="315">
        <f t="shared" si="7"/>
        <v>1078812</v>
      </c>
    </row>
    <row r="112" hidden="1" spans="1:13">
      <c r="A112" s="305"/>
      <c r="B112" s="133">
        <v>11</v>
      </c>
      <c r="C112" s="281">
        <v>41090</v>
      </c>
      <c r="D112" s="281">
        <v>41090</v>
      </c>
      <c r="E112" s="223">
        <v>863539.56</v>
      </c>
      <c r="F112" s="281">
        <v>41004</v>
      </c>
      <c r="G112" s="223">
        <v>1217166.21</v>
      </c>
      <c r="H112" s="283"/>
      <c r="I112" s="219">
        <f t="shared" si="6"/>
        <v>22245131.6</v>
      </c>
      <c r="J112" s="133"/>
      <c r="M112" s="315">
        <f t="shared" si="7"/>
        <v>738068</v>
      </c>
    </row>
    <row r="113" hidden="1" spans="1:13">
      <c r="A113" s="305"/>
      <c r="B113" s="133">
        <v>12</v>
      </c>
      <c r="C113" s="281">
        <v>41120</v>
      </c>
      <c r="D113" s="281">
        <v>41120</v>
      </c>
      <c r="E113" s="223">
        <v>3292926.39</v>
      </c>
      <c r="F113" s="281">
        <v>41019</v>
      </c>
      <c r="G113" s="223">
        <v>1000000</v>
      </c>
      <c r="H113" s="283"/>
      <c r="I113" s="219">
        <f t="shared" si="6"/>
        <v>24538057.99</v>
      </c>
      <c r="J113" s="133"/>
      <c r="M113" s="315">
        <f t="shared" si="7"/>
        <v>2814467</v>
      </c>
    </row>
    <row r="114" hidden="1" spans="1:13">
      <c r="A114" s="305"/>
      <c r="B114" s="133">
        <v>13</v>
      </c>
      <c r="C114" s="281">
        <v>41151</v>
      </c>
      <c r="D114" s="281">
        <v>41151</v>
      </c>
      <c r="E114" s="223">
        <v>3874712.4</v>
      </c>
      <c r="F114" s="281">
        <v>41026</v>
      </c>
      <c r="G114" s="223">
        <v>1400000</v>
      </c>
      <c r="H114" s="283"/>
      <c r="I114" s="219">
        <f t="shared" si="6"/>
        <v>27012770.39</v>
      </c>
      <c r="J114" s="133"/>
      <c r="M114" s="315">
        <f t="shared" si="7"/>
        <v>3311720</v>
      </c>
    </row>
    <row r="115" hidden="1" spans="1:13">
      <c r="A115" s="305"/>
      <c r="B115" s="133">
        <v>14</v>
      </c>
      <c r="C115" s="281">
        <v>41167</v>
      </c>
      <c r="D115" s="281">
        <v>41167</v>
      </c>
      <c r="E115" s="223">
        <v>2057436.81</v>
      </c>
      <c r="F115" s="281">
        <v>41036</v>
      </c>
      <c r="G115" s="223">
        <v>1197656.27</v>
      </c>
      <c r="H115" s="283"/>
      <c r="I115" s="219">
        <f t="shared" si="6"/>
        <v>27872550.93</v>
      </c>
      <c r="J115" s="133"/>
      <c r="M115" s="315">
        <f t="shared" si="7"/>
        <v>1758493</v>
      </c>
    </row>
    <row r="116" hidden="1" spans="1:13">
      <c r="A116" s="305"/>
      <c r="B116" s="133">
        <v>15</v>
      </c>
      <c r="C116" s="281">
        <v>41181</v>
      </c>
      <c r="D116" s="281">
        <v>41181</v>
      </c>
      <c r="E116" s="223">
        <v>1986043.41</v>
      </c>
      <c r="F116" s="281">
        <v>41051</v>
      </c>
      <c r="G116" s="223">
        <v>2000000</v>
      </c>
      <c r="H116" s="283"/>
      <c r="I116" s="219">
        <f t="shared" si="6"/>
        <v>27858594.34</v>
      </c>
      <c r="J116" s="133"/>
      <c r="M116" s="315">
        <f t="shared" si="7"/>
        <v>1697473</v>
      </c>
    </row>
    <row r="117" hidden="1" spans="1:13">
      <c r="A117" s="305"/>
      <c r="B117" s="133">
        <v>16</v>
      </c>
      <c r="C117" s="281">
        <v>41212</v>
      </c>
      <c r="D117" s="281">
        <v>41212</v>
      </c>
      <c r="E117" s="223">
        <v>3449130.75</v>
      </c>
      <c r="F117" s="281">
        <v>41060</v>
      </c>
      <c r="G117" s="223">
        <v>400000</v>
      </c>
      <c r="H117" s="283"/>
      <c r="I117" s="219">
        <f t="shared" ref="I117:I136" si="8">I116+E117-G117</f>
        <v>30907725.09</v>
      </c>
      <c r="J117" s="133"/>
      <c r="M117" s="315">
        <f t="shared" si="7"/>
        <v>2947975</v>
      </c>
    </row>
    <row r="118" hidden="1" spans="1:13">
      <c r="A118" s="305"/>
      <c r="B118" s="133">
        <v>17</v>
      </c>
      <c r="C118" s="281">
        <v>41228</v>
      </c>
      <c r="D118" s="281">
        <v>41228</v>
      </c>
      <c r="E118" s="223">
        <v>1988653.68</v>
      </c>
      <c r="F118" s="281">
        <v>41071</v>
      </c>
      <c r="G118" s="223">
        <v>2500000</v>
      </c>
      <c r="H118" s="283"/>
      <c r="I118" s="219">
        <f t="shared" si="8"/>
        <v>30396378.77</v>
      </c>
      <c r="J118" s="347"/>
      <c r="M118" s="315">
        <f t="shared" si="7"/>
        <v>1699704</v>
      </c>
    </row>
    <row r="119" hidden="1" spans="1:13">
      <c r="A119" s="305"/>
      <c r="B119" s="133">
        <v>18</v>
      </c>
      <c r="C119" s="281">
        <v>41243</v>
      </c>
      <c r="D119" s="281">
        <v>41243</v>
      </c>
      <c r="E119" s="223">
        <v>1223925.3</v>
      </c>
      <c r="F119" s="281">
        <v>41078</v>
      </c>
      <c r="G119" s="223">
        <v>453808.85</v>
      </c>
      <c r="H119" s="283"/>
      <c r="I119" s="219">
        <f t="shared" si="8"/>
        <v>31166495.22</v>
      </c>
      <c r="J119" s="347"/>
      <c r="M119" s="315">
        <f t="shared" si="7"/>
        <v>1046090</v>
      </c>
    </row>
    <row r="120" hidden="1" spans="1:13">
      <c r="A120" s="305"/>
      <c r="B120" s="133">
        <v>19</v>
      </c>
      <c r="C120" s="329">
        <v>41258</v>
      </c>
      <c r="D120" s="329">
        <v>41258</v>
      </c>
      <c r="E120" s="223">
        <v>1448502.12</v>
      </c>
      <c r="F120" s="281">
        <v>41085</v>
      </c>
      <c r="G120" s="223">
        <v>2661703.54</v>
      </c>
      <c r="H120" s="283"/>
      <c r="I120" s="219">
        <f t="shared" si="8"/>
        <v>29953293.8</v>
      </c>
      <c r="J120" s="133"/>
      <c r="M120" s="315">
        <f t="shared" si="7"/>
        <v>1238036</v>
      </c>
    </row>
    <row r="121" hidden="1" spans="1:13">
      <c r="A121" s="305"/>
      <c r="B121" s="133"/>
      <c r="C121" s="329">
        <v>41271</v>
      </c>
      <c r="D121" s="329">
        <v>41271</v>
      </c>
      <c r="E121" s="223">
        <v>2236566.15</v>
      </c>
      <c r="F121" s="281">
        <v>41096</v>
      </c>
      <c r="G121" s="223">
        <v>742464.95</v>
      </c>
      <c r="H121" s="283"/>
      <c r="I121" s="219">
        <f t="shared" si="8"/>
        <v>31447395</v>
      </c>
      <c r="J121" s="133"/>
      <c r="M121" s="315">
        <f t="shared" si="7"/>
        <v>1911595</v>
      </c>
    </row>
    <row r="122" hidden="1" spans="1:10">
      <c r="A122" s="305"/>
      <c r="B122" s="133"/>
      <c r="C122" s="281"/>
      <c r="D122" s="329"/>
      <c r="E122" s="223"/>
      <c r="F122" s="281">
        <v>41103</v>
      </c>
      <c r="G122" s="340">
        <v>1500000</v>
      </c>
      <c r="H122" s="341"/>
      <c r="I122" s="219">
        <f t="shared" si="8"/>
        <v>29947395</v>
      </c>
      <c r="J122" s="133"/>
    </row>
    <row r="123" hidden="1" spans="1:10">
      <c r="A123" s="305"/>
      <c r="B123" s="133"/>
      <c r="C123" s="281"/>
      <c r="D123" s="329"/>
      <c r="E123" s="223"/>
      <c r="F123" s="281">
        <v>41107</v>
      </c>
      <c r="G123" s="223">
        <v>532224.78</v>
      </c>
      <c r="H123" s="283"/>
      <c r="I123" s="219">
        <f t="shared" si="8"/>
        <v>29415170.22</v>
      </c>
      <c r="J123" s="133"/>
    </row>
    <row r="124" hidden="1" spans="1:10">
      <c r="A124" s="305"/>
      <c r="B124" s="133"/>
      <c r="C124" s="281"/>
      <c r="D124" s="329"/>
      <c r="E124" s="223"/>
      <c r="F124" s="281">
        <v>41486</v>
      </c>
      <c r="G124" s="223">
        <v>1200000</v>
      </c>
      <c r="H124" s="283"/>
      <c r="I124" s="219">
        <f t="shared" si="8"/>
        <v>28215170.22</v>
      </c>
      <c r="J124" s="133"/>
    </row>
    <row r="125" hidden="1" spans="1:10">
      <c r="A125" s="305"/>
      <c r="B125" s="133"/>
      <c r="C125" s="281"/>
      <c r="D125" s="329"/>
      <c r="E125" s="223"/>
      <c r="F125" s="281">
        <v>41120</v>
      </c>
      <c r="G125" s="223">
        <v>1049387.04</v>
      </c>
      <c r="H125" s="283"/>
      <c r="I125" s="219">
        <f t="shared" si="8"/>
        <v>27165783.18</v>
      </c>
      <c r="J125" s="133"/>
    </row>
    <row r="126" hidden="1" spans="1:10">
      <c r="A126" s="305"/>
      <c r="B126" s="133"/>
      <c r="C126" s="281"/>
      <c r="D126" s="329"/>
      <c r="E126" s="223"/>
      <c r="F126" s="281">
        <v>41134</v>
      </c>
      <c r="G126" s="223">
        <v>1275735.24</v>
      </c>
      <c r="H126" s="283"/>
      <c r="I126" s="219">
        <f t="shared" si="8"/>
        <v>25890047.94</v>
      </c>
      <c r="J126" s="133"/>
    </row>
    <row r="127" hidden="1" spans="1:10">
      <c r="A127" s="305"/>
      <c r="B127" s="133"/>
      <c r="C127" s="281"/>
      <c r="D127" s="329"/>
      <c r="E127" s="223"/>
      <c r="F127" s="281">
        <v>41159</v>
      </c>
      <c r="G127" s="223">
        <v>1685982.87</v>
      </c>
      <c r="H127" s="283"/>
      <c r="I127" s="219">
        <f t="shared" si="8"/>
        <v>24204065.07</v>
      </c>
      <c r="J127" s="133"/>
    </row>
    <row r="128" hidden="1" spans="1:10">
      <c r="A128" s="305"/>
      <c r="B128" s="133"/>
      <c r="C128" s="281"/>
      <c r="D128" s="329"/>
      <c r="E128" s="223"/>
      <c r="F128" s="281">
        <v>41177</v>
      </c>
      <c r="G128" s="223">
        <v>1262210.04</v>
      </c>
      <c r="H128" s="283"/>
      <c r="I128" s="219">
        <f t="shared" si="8"/>
        <v>22941855.03</v>
      </c>
      <c r="J128" s="133"/>
    </row>
    <row r="129" hidden="1" spans="1:10">
      <c r="A129" s="305"/>
      <c r="B129" s="133"/>
      <c r="C129" s="281"/>
      <c r="D129" s="329"/>
      <c r="E129" s="223"/>
      <c r="F129" s="281">
        <v>41179</v>
      </c>
      <c r="G129" s="223">
        <v>863539.56</v>
      </c>
      <c r="H129" s="283"/>
      <c r="I129" s="219">
        <f t="shared" si="8"/>
        <v>22078315.47</v>
      </c>
      <c r="J129" s="133"/>
    </row>
    <row r="130" hidden="1" spans="1:10">
      <c r="A130" s="305"/>
      <c r="B130" s="133"/>
      <c r="C130" s="281"/>
      <c r="D130" s="329"/>
      <c r="E130" s="223"/>
      <c r="F130" s="281">
        <v>41206</v>
      </c>
      <c r="G130" s="223">
        <v>2617448.37</v>
      </c>
      <c r="H130" s="283"/>
      <c r="I130" s="219">
        <f t="shared" si="8"/>
        <v>19460867.1</v>
      </c>
      <c r="J130" s="133"/>
    </row>
    <row r="131" hidden="1" spans="1:10">
      <c r="A131" s="305"/>
      <c r="B131" s="133"/>
      <c r="C131" s="281"/>
      <c r="D131" s="329"/>
      <c r="E131" s="223"/>
      <c r="F131" s="281">
        <v>41246</v>
      </c>
      <c r="G131" s="223">
        <v>1870392.4</v>
      </c>
      <c r="H131" s="283"/>
      <c r="I131" s="219">
        <f t="shared" si="8"/>
        <v>17590474.7</v>
      </c>
      <c r="J131" s="133"/>
    </row>
    <row r="132" hidden="1" spans="1:10">
      <c r="A132" s="305"/>
      <c r="B132" s="133"/>
      <c r="C132" s="281"/>
      <c r="D132" s="329"/>
      <c r="E132" s="223"/>
      <c r="F132" s="281">
        <v>41255</v>
      </c>
      <c r="G132" s="223">
        <v>2000000</v>
      </c>
      <c r="H132" s="283"/>
      <c r="I132" s="219">
        <f t="shared" si="8"/>
        <v>15590474.7</v>
      </c>
      <c r="J132" s="133"/>
    </row>
    <row r="133" hidden="1" spans="1:10">
      <c r="A133" s="305"/>
      <c r="B133" s="133"/>
      <c r="C133" s="281"/>
      <c r="D133" s="329"/>
      <c r="E133" s="223"/>
      <c r="F133" s="281">
        <v>41269</v>
      </c>
      <c r="G133" s="223">
        <v>1800000</v>
      </c>
      <c r="H133" s="283"/>
      <c r="I133" s="219">
        <f t="shared" si="8"/>
        <v>13790474.7</v>
      </c>
      <c r="J133" s="133"/>
    </row>
    <row r="134" hidden="1" spans="1:10">
      <c r="A134" s="305"/>
      <c r="B134" s="133"/>
      <c r="C134" s="281"/>
      <c r="D134" s="329"/>
      <c r="E134" s="223"/>
      <c r="F134" s="281">
        <v>41269</v>
      </c>
      <c r="G134" s="223">
        <v>257436.81</v>
      </c>
      <c r="H134" s="283"/>
      <c r="I134" s="219">
        <f t="shared" si="8"/>
        <v>13533037.89</v>
      </c>
      <c r="J134" s="133"/>
    </row>
    <row r="135" ht="48" hidden="1" spans="1:10">
      <c r="A135" s="305"/>
      <c r="B135" s="133"/>
      <c r="C135" s="281"/>
      <c r="D135" s="329"/>
      <c r="E135" s="223"/>
      <c r="F135" s="348">
        <v>41240</v>
      </c>
      <c r="G135" s="349">
        <f>113638.14*2</f>
        <v>227276.28</v>
      </c>
      <c r="H135" s="350"/>
      <c r="I135" s="352">
        <f t="shared" si="8"/>
        <v>13305761.61</v>
      </c>
      <c r="J135" s="353" t="s">
        <v>50</v>
      </c>
    </row>
    <row r="136" hidden="1" spans="1:10">
      <c r="A136" s="305"/>
      <c r="B136" s="133">
        <v>20</v>
      </c>
      <c r="C136" s="281"/>
      <c r="D136" s="329"/>
      <c r="E136" s="223"/>
      <c r="F136" s="281"/>
      <c r="G136" s="223"/>
      <c r="H136" s="283"/>
      <c r="I136" s="219">
        <f t="shared" si="8"/>
        <v>13305761.61</v>
      </c>
      <c r="J136" s="133"/>
    </row>
    <row r="137" s="275" customFormat="1" ht="23.25" customHeight="1" spans="1:14">
      <c r="A137" s="220" t="s">
        <v>51</v>
      </c>
      <c r="B137" s="339"/>
      <c r="C137" s="133"/>
      <c r="D137" s="222"/>
      <c r="E137" s="223">
        <f>SUM(E102:E136)</f>
        <v>43671224.61</v>
      </c>
      <c r="F137" s="133"/>
      <c r="G137" s="223">
        <f>SUM(G102:G136)</f>
        <v>49704696.99</v>
      </c>
      <c r="H137" s="283"/>
      <c r="I137" s="219">
        <f>I101+E137-G137</f>
        <v>13305761.61</v>
      </c>
      <c r="J137" s="133"/>
      <c r="K137" s="312"/>
      <c r="N137" s="346"/>
    </row>
    <row r="138" spans="1:10">
      <c r="A138" s="285" t="s">
        <v>52</v>
      </c>
      <c r="B138" s="133">
        <v>1</v>
      </c>
      <c r="C138" s="281">
        <v>41305</v>
      </c>
      <c r="D138" s="281">
        <v>41305</v>
      </c>
      <c r="E138" s="223">
        <v>4973600.97</v>
      </c>
      <c r="F138" s="281">
        <v>41282</v>
      </c>
      <c r="G138" s="223">
        <v>1000000</v>
      </c>
      <c r="H138" s="283"/>
      <c r="I138" s="219">
        <f>I137+E138-G138</f>
        <v>17279362.58</v>
      </c>
      <c r="J138" s="133"/>
    </row>
    <row r="139" spans="1:10">
      <c r="A139" s="305"/>
      <c r="B139" s="133">
        <v>2</v>
      </c>
      <c r="C139" s="281">
        <v>41333</v>
      </c>
      <c r="D139" s="281">
        <v>41333</v>
      </c>
      <c r="E139" s="223">
        <v>2505081.15</v>
      </c>
      <c r="F139" s="281">
        <v>41290</v>
      </c>
      <c r="G139" s="223">
        <v>986043.41</v>
      </c>
      <c r="H139" s="283"/>
      <c r="I139" s="219">
        <f t="shared" ref="I139:I163" si="9">I138+E139-G139</f>
        <v>18798400.32</v>
      </c>
      <c r="J139" s="133"/>
    </row>
    <row r="140" spans="1:10">
      <c r="A140" s="305"/>
      <c r="B140" s="133">
        <v>3</v>
      </c>
      <c r="C140" s="281">
        <v>41348</v>
      </c>
      <c r="D140" s="281">
        <v>41348</v>
      </c>
      <c r="E140" s="223">
        <v>2643960.15</v>
      </c>
      <c r="F140" s="281">
        <v>41305</v>
      </c>
      <c r="G140" s="223">
        <v>3386291.75</v>
      </c>
      <c r="H140" s="283"/>
      <c r="I140" s="219">
        <f t="shared" si="9"/>
        <v>18056068.72</v>
      </c>
      <c r="J140" s="133"/>
    </row>
    <row r="141" spans="1:10">
      <c r="A141" s="305"/>
      <c r="B141" s="133">
        <v>4</v>
      </c>
      <c r="C141" s="281">
        <v>41362</v>
      </c>
      <c r="D141" s="281">
        <v>41362</v>
      </c>
      <c r="E141" s="223">
        <v>2286100.44</v>
      </c>
      <c r="F141" s="281">
        <v>41309</v>
      </c>
      <c r="G141" s="223">
        <v>1988653.68</v>
      </c>
      <c r="H141" s="283"/>
      <c r="I141" s="219">
        <f t="shared" si="9"/>
        <v>18353515.48</v>
      </c>
      <c r="J141" s="133"/>
    </row>
    <row r="142" spans="1:10">
      <c r="A142" s="305"/>
      <c r="B142" s="133">
        <v>5</v>
      </c>
      <c r="C142" s="281">
        <v>41379</v>
      </c>
      <c r="D142" s="281">
        <v>41379</v>
      </c>
      <c r="E142" s="223">
        <v>1743305.85</v>
      </c>
      <c r="F142" s="281">
        <v>41334</v>
      </c>
      <c r="G142" s="223">
        <v>1190756.3</v>
      </c>
      <c r="H142" s="283"/>
      <c r="I142" s="219">
        <f t="shared" si="9"/>
        <v>18906065.03</v>
      </c>
      <c r="J142" s="133"/>
    </row>
    <row r="143" spans="1:10">
      <c r="A143" s="305"/>
      <c r="B143" s="133">
        <v>6</v>
      </c>
      <c r="C143" s="281">
        <v>41392</v>
      </c>
      <c r="D143" s="281">
        <v>41392</v>
      </c>
      <c r="E143" s="223">
        <v>2215051.02</v>
      </c>
      <c r="F143" s="281">
        <v>41347</v>
      </c>
      <c r="G143" s="223">
        <v>1448502.12</v>
      </c>
      <c r="H143" s="283"/>
      <c r="I143" s="219">
        <f t="shared" si="9"/>
        <v>19672613.93</v>
      </c>
      <c r="J143" s="133"/>
    </row>
    <row r="144" spans="1:10">
      <c r="A144" s="305"/>
      <c r="B144" s="133">
        <v>7</v>
      </c>
      <c r="C144" s="281">
        <v>41409</v>
      </c>
      <c r="D144" s="281">
        <v>41409</v>
      </c>
      <c r="E144" s="223">
        <v>1745180.19</v>
      </c>
      <c r="F144" s="281">
        <v>41364</v>
      </c>
      <c r="G144" s="223">
        <v>2236566.15</v>
      </c>
      <c r="H144" s="283"/>
      <c r="I144" s="219">
        <f t="shared" si="9"/>
        <v>19181227.97</v>
      </c>
      <c r="J144" s="133"/>
    </row>
    <row r="145" spans="1:10">
      <c r="A145" s="305"/>
      <c r="B145" s="133">
        <v>8</v>
      </c>
      <c r="C145" s="281">
        <v>41425</v>
      </c>
      <c r="D145" s="281">
        <v>41425</v>
      </c>
      <c r="E145" s="223">
        <v>1678197.69</v>
      </c>
      <c r="F145" s="281">
        <v>41395</v>
      </c>
      <c r="G145" s="223">
        <v>2545258.97</v>
      </c>
      <c r="H145" s="283"/>
      <c r="I145" s="219">
        <f t="shared" si="9"/>
        <v>18314166.69</v>
      </c>
      <c r="J145" s="133"/>
    </row>
    <row r="146" spans="1:10">
      <c r="A146" s="305"/>
      <c r="B146" s="133">
        <v>9</v>
      </c>
      <c r="C146" s="281">
        <v>41455</v>
      </c>
      <c r="D146" s="281">
        <v>41455</v>
      </c>
      <c r="E146" s="223">
        <v>2804520.42</v>
      </c>
      <c r="F146" s="281">
        <v>41400</v>
      </c>
      <c r="G146" s="223">
        <v>2000000</v>
      </c>
      <c r="H146" s="283"/>
      <c r="I146" s="219">
        <f t="shared" si="9"/>
        <v>19118687.11</v>
      </c>
      <c r="J146" s="133"/>
    </row>
    <row r="147" spans="1:10">
      <c r="A147" s="305"/>
      <c r="B147" s="133">
        <v>10</v>
      </c>
      <c r="C147" s="281">
        <v>41470</v>
      </c>
      <c r="D147" s="281">
        <v>41470</v>
      </c>
      <c r="E147" s="223">
        <v>2077602.93</v>
      </c>
      <c r="F147" s="281">
        <v>41425</v>
      </c>
      <c r="G147" s="223">
        <v>2446723.15</v>
      </c>
      <c r="H147" s="283"/>
      <c r="I147" s="219">
        <f t="shared" si="9"/>
        <v>18749566.89</v>
      </c>
      <c r="J147" s="133"/>
    </row>
    <row r="148" spans="1:10">
      <c r="A148" s="305"/>
      <c r="B148" s="133">
        <v>11</v>
      </c>
      <c r="C148" s="281">
        <v>41486</v>
      </c>
      <c r="D148" s="281">
        <v>41501</v>
      </c>
      <c r="E148" s="223">
        <v>1892139.21</v>
      </c>
      <c r="F148" s="281">
        <v>41439</v>
      </c>
      <c r="G148" s="223">
        <v>2643960.15</v>
      </c>
      <c r="H148" s="283"/>
      <c r="I148" s="219">
        <f t="shared" si="9"/>
        <v>17997745.95</v>
      </c>
      <c r="J148" s="133"/>
    </row>
    <row r="149" spans="1:10">
      <c r="A149" s="305"/>
      <c r="B149" s="133">
        <v>12</v>
      </c>
      <c r="C149" s="281">
        <v>41501</v>
      </c>
      <c r="D149" s="281">
        <v>41501</v>
      </c>
      <c r="E149" s="223">
        <v>1601662.14</v>
      </c>
      <c r="F149" s="281">
        <v>41444</v>
      </c>
      <c r="G149" s="223">
        <v>2286100.44</v>
      </c>
      <c r="H149" s="283"/>
      <c r="I149" s="219">
        <f t="shared" si="9"/>
        <v>17313307.65</v>
      </c>
      <c r="J149" s="133"/>
    </row>
    <row r="150" spans="1:10">
      <c r="A150" s="305"/>
      <c r="B150" s="133">
        <v>13</v>
      </c>
      <c r="C150" s="281">
        <v>41516</v>
      </c>
      <c r="D150" s="281">
        <v>41516</v>
      </c>
      <c r="E150" s="223">
        <v>1494808.28</v>
      </c>
      <c r="F150" s="281">
        <v>41486</v>
      </c>
      <c r="G150" s="223">
        <v>1743305.85</v>
      </c>
      <c r="H150" s="283"/>
      <c r="I150" s="219">
        <f t="shared" si="9"/>
        <v>17064810.08</v>
      </c>
      <c r="J150" s="133"/>
    </row>
    <row r="151" spans="1:10">
      <c r="A151" s="305"/>
      <c r="B151" s="133">
        <v>14</v>
      </c>
      <c r="C151" s="281">
        <v>41532</v>
      </c>
      <c r="D151" s="281">
        <v>41532</v>
      </c>
      <c r="E151" s="223">
        <v>1754798.76</v>
      </c>
      <c r="F151" s="281">
        <v>41486</v>
      </c>
      <c r="G151" s="223">
        <v>2215051.02</v>
      </c>
      <c r="H151" s="283"/>
      <c r="I151" s="219">
        <f t="shared" si="9"/>
        <v>16604557.82</v>
      </c>
      <c r="J151" s="133"/>
    </row>
    <row r="152" spans="1:10">
      <c r="A152" s="305"/>
      <c r="B152" s="133">
        <v>15</v>
      </c>
      <c r="C152" s="281">
        <v>41547</v>
      </c>
      <c r="D152" s="281">
        <v>41547</v>
      </c>
      <c r="E152" s="223">
        <v>1483748.37</v>
      </c>
      <c r="F152" s="281">
        <v>41499</v>
      </c>
      <c r="G152" s="223">
        <v>1600699.19</v>
      </c>
      <c r="H152" s="283"/>
      <c r="I152" s="219">
        <f t="shared" si="9"/>
        <v>16487607</v>
      </c>
      <c r="J152" s="133"/>
    </row>
    <row r="153" spans="1:10">
      <c r="A153" s="305"/>
      <c r="B153" s="133">
        <v>16</v>
      </c>
      <c r="C153" s="281">
        <v>41562</v>
      </c>
      <c r="D153" s="281">
        <v>41562</v>
      </c>
      <c r="E153" s="223">
        <v>1168456.77</v>
      </c>
      <c r="F153" s="281">
        <v>41515</v>
      </c>
      <c r="G153" s="223">
        <v>677557.69</v>
      </c>
      <c r="H153" s="283"/>
      <c r="I153" s="219">
        <f t="shared" si="9"/>
        <v>16978506.08</v>
      </c>
      <c r="J153" s="133"/>
    </row>
    <row r="154" spans="1:10">
      <c r="A154" s="305"/>
      <c r="B154" s="133">
        <v>17</v>
      </c>
      <c r="C154" s="281">
        <v>41578</v>
      </c>
      <c r="D154" s="281">
        <v>41578</v>
      </c>
      <c r="E154" s="223">
        <v>2222854.92</v>
      </c>
      <c r="F154" s="281">
        <v>41516</v>
      </c>
      <c r="G154" s="223">
        <v>1000000</v>
      </c>
      <c r="H154" s="283"/>
      <c r="I154" s="219">
        <f t="shared" si="9"/>
        <v>18201361</v>
      </c>
      <c r="J154" s="347"/>
    </row>
    <row r="155" spans="1:10">
      <c r="A155" s="305"/>
      <c r="B155" s="133">
        <v>18</v>
      </c>
      <c r="C155" s="281">
        <v>41593</v>
      </c>
      <c r="D155" s="281">
        <v>41593</v>
      </c>
      <c r="E155" s="223">
        <v>1527485.31</v>
      </c>
      <c r="F155" s="281">
        <v>41516</v>
      </c>
      <c r="G155" s="223">
        <v>1000000</v>
      </c>
      <c r="H155" s="283"/>
      <c r="I155" s="219">
        <f t="shared" si="9"/>
        <v>18728846.31</v>
      </c>
      <c r="J155" s="347"/>
    </row>
    <row r="156" spans="1:10">
      <c r="A156" s="305"/>
      <c r="B156" s="133">
        <v>19</v>
      </c>
      <c r="C156" s="329">
        <v>41606</v>
      </c>
      <c r="D156" s="329">
        <v>41606</v>
      </c>
      <c r="E156" s="351">
        <v>1276654.86</v>
      </c>
      <c r="F156" s="281">
        <v>41532</v>
      </c>
      <c r="G156" s="223">
        <v>1757271.42</v>
      </c>
      <c r="H156" s="283"/>
      <c r="I156" s="219">
        <f t="shared" si="9"/>
        <v>18248229.75</v>
      </c>
      <c r="J156" s="133"/>
    </row>
    <row r="157" spans="1:10">
      <c r="A157" s="305"/>
      <c r="B157" s="133">
        <v>20</v>
      </c>
      <c r="C157" s="329">
        <v>41622</v>
      </c>
      <c r="D157" s="329">
        <v>41622</v>
      </c>
      <c r="E157" s="351">
        <v>2022504.12</v>
      </c>
      <c r="F157" s="281">
        <v>41544</v>
      </c>
      <c r="G157" s="223">
        <v>2076722.93</v>
      </c>
      <c r="H157" s="283"/>
      <c r="I157" s="219">
        <f t="shared" si="9"/>
        <v>18194010.94</v>
      </c>
      <c r="J157" s="133"/>
    </row>
    <row r="158" spans="1:10">
      <c r="A158" s="305"/>
      <c r="B158" s="133"/>
      <c r="C158" s="329">
        <v>41638</v>
      </c>
      <c r="D158" s="329">
        <v>41638</v>
      </c>
      <c r="E158" s="351">
        <v>1337872.77</v>
      </c>
      <c r="F158" s="281">
        <v>41565</v>
      </c>
      <c r="G158" s="340">
        <v>1348041.35</v>
      </c>
      <c r="H158" s="341"/>
      <c r="I158" s="219">
        <f t="shared" si="9"/>
        <v>18183842.36</v>
      </c>
      <c r="J158" s="133"/>
    </row>
    <row r="159" spans="1:10">
      <c r="A159" s="305"/>
      <c r="B159" s="133"/>
      <c r="C159" s="281"/>
      <c r="D159" s="329"/>
      <c r="E159" s="351"/>
      <c r="F159" s="281">
        <v>41592</v>
      </c>
      <c r="G159" s="223">
        <v>2000000</v>
      </c>
      <c r="H159" s="283"/>
      <c r="I159" s="219">
        <f t="shared" si="9"/>
        <v>16183842.36</v>
      </c>
      <c r="J159" s="133"/>
    </row>
    <row r="160" spans="1:10">
      <c r="A160" s="305"/>
      <c r="B160" s="133"/>
      <c r="C160" s="281"/>
      <c r="D160" s="329"/>
      <c r="E160" s="223"/>
      <c r="F160" s="281">
        <v>41608</v>
      </c>
      <c r="G160" s="223">
        <v>1317253.27</v>
      </c>
      <c r="H160" s="283"/>
      <c r="I160" s="219">
        <f t="shared" si="9"/>
        <v>14866589.09</v>
      </c>
      <c r="J160" s="133"/>
    </row>
    <row r="161" spans="1:10">
      <c r="A161" s="305"/>
      <c r="B161" s="133"/>
      <c r="C161" s="281"/>
      <c r="D161" s="329"/>
      <c r="E161" s="223"/>
      <c r="F161" s="281">
        <v>41635</v>
      </c>
      <c r="G161" s="223">
        <v>1754798.76</v>
      </c>
      <c r="H161" s="283"/>
      <c r="I161" s="219">
        <f t="shared" si="9"/>
        <v>13111790.33</v>
      </c>
      <c r="J161" s="133"/>
    </row>
    <row r="162" spans="1:10">
      <c r="A162" s="305"/>
      <c r="B162" s="133"/>
      <c r="C162" s="281"/>
      <c r="D162" s="329"/>
      <c r="E162" s="223"/>
      <c r="F162" s="281">
        <v>41638</v>
      </c>
      <c r="G162" s="223">
        <v>1483748.37</v>
      </c>
      <c r="H162" s="283"/>
      <c r="I162" s="219">
        <f t="shared" si="9"/>
        <v>11628041.96</v>
      </c>
      <c r="J162" s="133"/>
    </row>
    <row r="163" spans="1:10">
      <c r="A163" s="305"/>
      <c r="B163" s="133"/>
      <c r="C163" s="281"/>
      <c r="D163" s="329"/>
      <c r="E163" s="223"/>
      <c r="F163" s="281">
        <v>41455</v>
      </c>
      <c r="G163" s="223">
        <v>89100</v>
      </c>
      <c r="H163" s="283"/>
      <c r="I163" s="219">
        <f t="shared" si="9"/>
        <v>11538941.96</v>
      </c>
      <c r="J163" s="133" t="s">
        <v>53</v>
      </c>
    </row>
    <row r="164" hidden="1" spans="1:10">
      <c r="A164" s="305"/>
      <c r="B164" s="133"/>
      <c r="C164" s="281"/>
      <c r="D164" s="329"/>
      <c r="E164" s="223"/>
      <c r="F164" s="281"/>
      <c r="G164" s="223"/>
      <c r="H164" s="283"/>
      <c r="I164" s="219">
        <f t="shared" ref="I164:I172" si="10">I163+E164-G164</f>
        <v>11538941.96</v>
      </c>
      <c r="J164" s="133"/>
    </row>
    <row r="165" hidden="1" spans="1:10">
      <c r="A165" s="305"/>
      <c r="B165" s="133"/>
      <c r="C165" s="281"/>
      <c r="D165" s="329"/>
      <c r="E165" s="223"/>
      <c r="F165" s="281"/>
      <c r="G165" s="223"/>
      <c r="H165" s="283"/>
      <c r="I165" s="219">
        <f t="shared" si="10"/>
        <v>11538941.96</v>
      </c>
      <c r="J165" s="133"/>
    </row>
    <row r="166" hidden="1" spans="1:10">
      <c r="A166" s="305"/>
      <c r="B166" s="133"/>
      <c r="C166" s="281"/>
      <c r="D166" s="329"/>
      <c r="E166" s="223"/>
      <c r="F166" s="281"/>
      <c r="G166" s="223"/>
      <c r="H166" s="283"/>
      <c r="I166" s="219">
        <f t="shared" si="10"/>
        <v>11538941.96</v>
      </c>
      <c r="J166" s="133"/>
    </row>
    <row r="167" hidden="1" spans="1:10">
      <c r="A167" s="305"/>
      <c r="B167" s="133"/>
      <c r="C167" s="281"/>
      <c r="D167" s="329"/>
      <c r="E167" s="223"/>
      <c r="F167" s="281"/>
      <c r="G167" s="223"/>
      <c r="H167" s="283"/>
      <c r="I167" s="219">
        <f t="shared" si="10"/>
        <v>11538941.96</v>
      </c>
      <c r="J167" s="133"/>
    </row>
    <row r="168" hidden="1" spans="1:10">
      <c r="A168" s="305"/>
      <c r="B168" s="133"/>
      <c r="C168" s="281"/>
      <c r="D168" s="329"/>
      <c r="E168" s="223"/>
      <c r="F168" s="281"/>
      <c r="G168" s="223"/>
      <c r="H168" s="283"/>
      <c r="I168" s="219">
        <f t="shared" si="10"/>
        <v>11538941.96</v>
      </c>
      <c r="J168" s="133"/>
    </row>
    <row r="169" hidden="1" spans="1:10">
      <c r="A169" s="305"/>
      <c r="B169" s="133"/>
      <c r="C169" s="281"/>
      <c r="D169" s="329"/>
      <c r="E169" s="223"/>
      <c r="F169" s="281"/>
      <c r="G169" s="223"/>
      <c r="H169" s="283"/>
      <c r="I169" s="219">
        <f t="shared" si="10"/>
        <v>11538941.96</v>
      </c>
      <c r="J169" s="133"/>
    </row>
    <row r="170" hidden="1" spans="1:10">
      <c r="A170" s="305"/>
      <c r="B170" s="133"/>
      <c r="C170" s="281"/>
      <c r="D170" s="329"/>
      <c r="E170" s="223"/>
      <c r="F170" s="281"/>
      <c r="G170" s="223"/>
      <c r="H170" s="283"/>
      <c r="I170" s="219">
        <f t="shared" si="10"/>
        <v>11538941.96</v>
      </c>
      <c r="J170" s="133"/>
    </row>
    <row r="171" hidden="1" spans="1:10">
      <c r="A171" s="305"/>
      <c r="B171" s="133"/>
      <c r="C171" s="281"/>
      <c r="D171" s="329"/>
      <c r="E171" s="223"/>
      <c r="F171" s="281"/>
      <c r="G171" s="223"/>
      <c r="H171" s="283"/>
      <c r="I171" s="219">
        <f t="shared" si="10"/>
        <v>11538941.96</v>
      </c>
      <c r="J171" s="133"/>
    </row>
    <row r="172" hidden="1" spans="1:10">
      <c r="A172" s="305"/>
      <c r="B172" s="133">
        <v>20</v>
      </c>
      <c r="C172" s="281"/>
      <c r="D172" s="329"/>
      <c r="E172" s="223"/>
      <c r="F172" s="281"/>
      <c r="G172" s="223"/>
      <c r="H172" s="283"/>
      <c r="I172" s="219">
        <f t="shared" si="10"/>
        <v>11538941.96</v>
      </c>
      <c r="J172" s="133"/>
    </row>
    <row r="173" spans="1:10">
      <c r="A173" s="220" t="s">
        <v>54</v>
      </c>
      <c r="B173" s="339"/>
      <c r="C173" s="133"/>
      <c r="D173" s="222"/>
      <c r="E173" s="223">
        <f>SUM(E138:E172)</f>
        <v>42455586.32</v>
      </c>
      <c r="F173" s="133"/>
      <c r="G173" s="223">
        <f>SUM(G138:G172)</f>
        <v>44222405.97</v>
      </c>
      <c r="H173" s="283"/>
      <c r="I173" s="219">
        <f>I137+E173-G173</f>
        <v>11538941.96</v>
      </c>
      <c r="J173" s="133"/>
    </row>
    <row r="174" spans="1:12">
      <c r="A174" s="285" t="s">
        <v>55</v>
      </c>
      <c r="B174" s="133">
        <v>1</v>
      </c>
      <c r="C174" s="281">
        <v>41664</v>
      </c>
      <c r="D174" s="281">
        <v>41664</v>
      </c>
      <c r="E174" s="351">
        <v>3246312.42</v>
      </c>
      <c r="F174" s="281">
        <v>41654</v>
      </c>
      <c r="G174" s="223">
        <v>1168456.77</v>
      </c>
      <c r="H174" s="283"/>
      <c r="I174" s="219">
        <f>I173+E174-G174</f>
        <v>13616797.61</v>
      </c>
      <c r="J174" s="133"/>
      <c r="L174" s="354">
        <v>10762273.08</v>
      </c>
    </row>
    <row r="175" spans="1:12">
      <c r="A175" s="305"/>
      <c r="B175" s="133">
        <v>2</v>
      </c>
      <c r="C175" s="281">
        <v>41697</v>
      </c>
      <c r="D175" s="281">
        <v>41697</v>
      </c>
      <c r="E175" s="351">
        <v>2422356.3</v>
      </c>
      <c r="F175" s="281">
        <v>41669</v>
      </c>
      <c r="G175" s="223">
        <v>2219974.92</v>
      </c>
      <c r="H175" s="283"/>
      <c r="I175" s="219">
        <f t="shared" ref="I175:I188" si="11">I174+E175-G175</f>
        <v>13819178.99</v>
      </c>
      <c r="J175" s="133"/>
      <c r="L175" s="354">
        <f>I177-L174</f>
        <v>2171620.21000001</v>
      </c>
    </row>
    <row r="176" spans="1:10">
      <c r="A176" s="305"/>
      <c r="B176" s="133">
        <v>3</v>
      </c>
      <c r="C176" s="281">
        <v>41712</v>
      </c>
      <c r="D176" s="281">
        <v>41712</v>
      </c>
      <c r="E176" s="351">
        <v>1733227.47</v>
      </c>
      <c r="F176" s="281">
        <v>41687</v>
      </c>
      <c r="G176" s="223">
        <v>1341858.31</v>
      </c>
      <c r="H176" s="283"/>
      <c r="I176" s="219">
        <f t="shared" si="11"/>
        <v>14210548.15</v>
      </c>
      <c r="J176" s="133"/>
    </row>
    <row r="177" spans="1:10">
      <c r="A177" s="305"/>
      <c r="B177" s="133">
        <v>4</v>
      </c>
      <c r="C177" s="281"/>
      <c r="D177" s="281"/>
      <c r="E177" s="351"/>
      <c r="F177" s="281">
        <v>41695</v>
      </c>
      <c r="G177" s="223">
        <v>1276654.86</v>
      </c>
      <c r="H177" s="283"/>
      <c r="I177" s="219">
        <f t="shared" si="11"/>
        <v>12933893.29</v>
      </c>
      <c r="J177" s="133"/>
    </row>
    <row r="178" spans="1:10">
      <c r="A178" s="305"/>
      <c r="B178" s="133">
        <v>5</v>
      </c>
      <c r="C178" s="281"/>
      <c r="D178" s="281"/>
      <c r="E178" s="351"/>
      <c r="F178" s="281"/>
      <c r="G178" s="223"/>
      <c r="H178" s="283"/>
      <c r="I178" s="219">
        <f t="shared" si="11"/>
        <v>12933893.29</v>
      </c>
      <c r="J178" s="133"/>
    </row>
    <row r="179" spans="1:10">
      <c r="A179" s="305"/>
      <c r="B179" s="133">
        <v>6</v>
      </c>
      <c r="C179" s="281"/>
      <c r="D179" s="281"/>
      <c r="E179" s="351"/>
      <c r="F179" s="281"/>
      <c r="G179" s="223"/>
      <c r="H179" s="283"/>
      <c r="I179" s="219">
        <f t="shared" si="11"/>
        <v>12933893.29</v>
      </c>
      <c r="J179" s="133"/>
    </row>
    <row r="180" spans="1:10">
      <c r="A180" s="305"/>
      <c r="B180" s="133">
        <v>7</v>
      </c>
      <c r="C180" s="281"/>
      <c r="D180" s="281"/>
      <c r="E180" s="351"/>
      <c r="F180" s="281"/>
      <c r="G180" s="223"/>
      <c r="H180" s="283"/>
      <c r="I180" s="219">
        <f t="shared" si="11"/>
        <v>12933893.29</v>
      </c>
      <c r="J180" s="133"/>
    </row>
    <row r="181" spans="1:10">
      <c r="A181" s="305"/>
      <c r="B181" s="133">
        <v>8</v>
      </c>
      <c r="C181" s="281"/>
      <c r="D181" s="281"/>
      <c r="E181" s="223"/>
      <c r="F181" s="281"/>
      <c r="G181" s="223"/>
      <c r="H181" s="283"/>
      <c r="I181" s="219">
        <f t="shared" si="11"/>
        <v>12933893.29</v>
      </c>
      <c r="J181" s="133"/>
    </row>
    <row r="182" spans="1:10">
      <c r="A182" s="305"/>
      <c r="B182" s="133">
        <v>9</v>
      </c>
      <c r="C182" s="281"/>
      <c r="D182" s="281"/>
      <c r="E182" s="223"/>
      <c r="F182" s="281"/>
      <c r="G182" s="223"/>
      <c r="H182" s="283"/>
      <c r="I182" s="219">
        <f t="shared" si="11"/>
        <v>12933893.29</v>
      </c>
      <c r="J182" s="133"/>
    </row>
    <row r="183" spans="1:10">
      <c r="A183" s="305"/>
      <c r="B183" s="133">
        <v>10</v>
      </c>
      <c r="C183" s="281"/>
      <c r="D183" s="281"/>
      <c r="E183" s="223"/>
      <c r="F183" s="281"/>
      <c r="G183" s="223"/>
      <c r="H183" s="283"/>
      <c r="I183" s="219">
        <f t="shared" si="11"/>
        <v>12933893.29</v>
      </c>
      <c r="J183" s="133"/>
    </row>
    <row r="184" spans="1:10">
      <c r="A184" s="305"/>
      <c r="B184" s="133">
        <v>11</v>
      </c>
      <c r="C184" s="281"/>
      <c r="D184" s="281"/>
      <c r="E184" s="223"/>
      <c r="F184" s="281"/>
      <c r="G184" s="223"/>
      <c r="H184" s="283"/>
      <c r="I184" s="219">
        <f t="shared" si="11"/>
        <v>12933893.29</v>
      </c>
      <c r="J184" s="133"/>
    </row>
    <row r="185" spans="1:10">
      <c r="A185" s="305"/>
      <c r="B185" s="133">
        <v>12</v>
      </c>
      <c r="C185" s="281"/>
      <c r="D185" s="281"/>
      <c r="E185" s="223"/>
      <c r="F185" s="281"/>
      <c r="G185" s="223"/>
      <c r="H185" s="283"/>
      <c r="I185" s="219">
        <f t="shared" si="11"/>
        <v>12933893.29</v>
      </c>
      <c r="J185" s="133"/>
    </row>
    <row r="186" spans="1:10">
      <c r="A186" s="305"/>
      <c r="B186" s="133">
        <v>13</v>
      </c>
      <c r="C186" s="281"/>
      <c r="D186" s="281"/>
      <c r="E186" s="223"/>
      <c r="F186" s="281"/>
      <c r="G186" s="223"/>
      <c r="H186" s="283"/>
      <c r="I186" s="219">
        <f t="shared" si="11"/>
        <v>12933893.29</v>
      </c>
      <c r="J186" s="133"/>
    </row>
    <row r="187" spans="1:10">
      <c r="A187" s="305"/>
      <c r="B187" s="133">
        <v>14</v>
      </c>
      <c r="C187" s="281"/>
      <c r="D187" s="281"/>
      <c r="E187" s="223"/>
      <c r="F187" s="281"/>
      <c r="G187" s="223"/>
      <c r="H187" s="283"/>
      <c r="I187" s="219">
        <f t="shared" si="11"/>
        <v>12933893.29</v>
      </c>
      <c r="J187" s="133"/>
    </row>
    <row r="188" spans="1:10">
      <c r="A188" s="305"/>
      <c r="B188" s="133">
        <v>15</v>
      </c>
      <c r="C188" s="281"/>
      <c r="D188" s="281"/>
      <c r="E188" s="223"/>
      <c r="F188" s="281"/>
      <c r="G188" s="223"/>
      <c r="H188" s="283"/>
      <c r="I188" s="219">
        <f t="shared" si="11"/>
        <v>12933893.29</v>
      </c>
      <c r="J188" s="133"/>
    </row>
    <row r="189" spans="1:10">
      <c r="A189" s="305"/>
      <c r="B189" s="133">
        <v>16</v>
      </c>
      <c r="C189" s="281"/>
      <c r="D189" s="281"/>
      <c r="E189" s="223"/>
      <c r="F189" s="281"/>
      <c r="G189" s="223"/>
      <c r="H189" s="283"/>
      <c r="I189" s="219">
        <f t="shared" ref="I189:I208" si="12">I188+E189-G189</f>
        <v>12933893.29</v>
      </c>
      <c r="J189" s="133"/>
    </row>
    <row r="190" spans="1:10">
      <c r="A190" s="305"/>
      <c r="B190" s="133">
        <v>17</v>
      </c>
      <c r="C190" s="281"/>
      <c r="D190" s="281"/>
      <c r="E190" s="223"/>
      <c r="F190" s="281"/>
      <c r="G190" s="223"/>
      <c r="H190" s="283"/>
      <c r="I190" s="219">
        <f t="shared" si="12"/>
        <v>12933893.29</v>
      </c>
      <c r="J190" s="347"/>
    </row>
    <row r="191" spans="1:10">
      <c r="A191" s="305"/>
      <c r="B191" s="133">
        <v>18</v>
      </c>
      <c r="C191" s="281"/>
      <c r="D191" s="281"/>
      <c r="E191" s="223"/>
      <c r="F191" s="281"/>
      <c r="G191" s="223"/>
      <c r="H191" s="283"/>
      <c r="I191" s="219">
        <f t="shared" si="12"/>
        <v>12933893.29</v>
      </c>
      <c r="J191" s="347"/>
    </row>
    <row r="192" spans="1:10">
      <c r="A192" s="305"/>
      <c r="B192" s="133">
        <v>19</v>
      </c>
      <c r="C192" s="329"/>
      <c r="D192" s="329"/>
      <c r="E192" s="223"/>
      <c r="F192" s="281"/>
      <c r="G192" s="223"/>
      <c r="H192" s="283"/>
      <c r="I192" s="219">
        <f t="shared" si="12"/>
        <v>12933893.29</v>
      </c>
      <c r="J192" s="133"/>
    </row>
    <row r="193" spans="1:10">
      <c r="A193" s="305"/>
      <c r="B193" s="133">
        <v>20</v>
      </c>
      <c r="C193" s="329"/>
      <c r="D193" s="329"/>
      <c r="E193" s="223"/>
      <c r="F193" s="281"/>
      <c r="G193" s="223"/>
      <c r="H193" s="283"/>
      <c r="I193" s="219">
        <f t="shared" si="12"/>
        <v>12933893.29</v>
      </c>
      <c r="J193" s="133"/>
    </row>
    <row r="194" hidden="1" spans="1:10">
      <c r="A194" s="305"/>
      <c r="B194" s="133"/>
      <c r="C194" s="281"/>
      <c r="D194" s="329"/>
      <c r="E194" s="223"/>
      <c r="F194" s="281"/>
      <c r="G194" s="340"/>
      <c r="H194" s="341"/>
      <c r="I194" s="219">
        <f t="shared" si="12"/>
        <v>12933893.29</v>
      </c>
      <c r="J194" s="133"/>
    </row>
    <row r="195" hidden="1" spans="1:10">
      <c r="A195" s="305"/>
      <c r="B195" s="133"/>
      <c r="C195" s="281"/>
      <c r="D195" s="329"/>
      <c r="E195" s="223"/>
      <c r="F195" s="281"/>
      <c r="G195" s="223"/>
      <c r="H195" s="283"/>
      <c r="I195" s="219">
        <f t="shared" si="12"/>
        <v>12933893.29</v>
      </c>
      <c r="J195" s="133"/>
    </row>
    <row r="196" hidden="1" spans="1:10">
      <c r="A196" s="305"/>
      <c r="B196" s="133"/>
      <c r="C196" s="281"/>
      <c r="D196" s="329"/>
      <c r="E196" s="223"/>
      <c r="F196" s="281"/>
      <c r="G196" s="223"/>
      <c r="H196" s="283"/>
      <c r="I196" s="219">
        <f t="shared" si="12"/>
        <v>12933893.29</v>
      </c>
      <c r="J196" s="133"/>
    </row>
    <row r="197" hidden="1" spans="1:10">
      <c r="A197" s="305"/>
      <c r="B197" s="133"/>
      <c r="C197" s="281"/>
      <c r="D197" s="329"/>
      <c r="E197" s="223"/>
      <c r="F197" s="281"/>
      <c r="G197" s="223"/>
      <c r="H197" s="283"/>
      <c r="I197" s="219">
        <f t="shared" si="12"/>
        <v>12933893.29</v>
      </c>
      <c r="J197" s="133"/>
    </row>
    <row r="198" hidden="1" spans="1:10">
      <c r="A198" s="305"/>
      <c r="B198" s="133"/>
      <c r="C198" s="281"/>
      <c r="D198" s="329"/>
      <c r="E198" s="223"/>
      <c r="F198" s="281"/>
      <c r="G198" s="223"/>
      <c r="H198" s="283"/>
      <c r="I198" s="219">
        <f t="shared" si="12"/>
        <v>12933893.29</v>
      </c>
      <c r="J198" s="133"/>
    </row>
    <row r="199" hidden="1" spans="1:10">
      <c r="A199" s="305"/>
      <c r="B199" s="133"/>
      <c r="C199" s="281"/>
      <c r="D199" s="329"/>
      <c r="E199" s="223"/>
      <c r="F199" s="281"/>
      <c r="G199" s="223"/>
      <c r="H199" s="283"/>
      <c r="I199" s="219">
        <f t="shared" si="12"/>
        <v>12933893.29</v>
      </c>
      <c r="J199" s="133"/>
    </row>
    <row r="200" hidden="1" spans="1:10">
      <c r="A200" s="305"/>
      <c r="B200" s="133"/>
      <c r="C200" s="281"/>
      <c r="D200" s="329"/>
      <c r="E200" s="223"/>
      <c r="F200" s="281"/>
      <c r="G200" s="223"/>
      <c r="H200" s="283"/>
      <c r="I200" s="219">
        <f t="shared" si="12"/>
        <v>12933893.29</v>
      </c>
      <c r="J200" s="133"/>
    </row>
    <row r="201" hidden="1" spans="1:10">
      <c r="A201" s="305"/>
      <c r="B201" s="133"/>
      <c r="C201" s="281"/>
      <c r="D201" s="329"/>
      <c r="E201" s="223"/>
      <c r="F201" s="281"/>
      <c r="G201" s="223"/>
      <c r="H201" s="283"/>
      <c r="I201" s="219">
        <f t="shared" si="12"/>
        <v>12933893.29</v>
      </c>
      <c r="J201" s="133"/>
    </row>
    <row r="202" hidden="1" spans="1:10">
      <c r="A202" s="305"/>
      <c r="B202" s="133"/>
      <c r="C202" s="281"/>
      <c r="D202" s="329"/>
      <c r="E202" s="223"/>
      <c r="F202" s="281"/>
      <c r="G202" s="223"/>
      <c r="H202" s="283"/>
      <c r="I202" s="219">
        <f t="shared" si="12"/>
        <v>12933893.29</v>
      </c>
      <c r="J202" s="133"/>
    </row>
    <row r="203" hidden="1" spans="1:10">
      <c r="A203" s="305"/>
      <c r="B203" s="133"/>
      <c r="C203" s="281"/>
      <c r="D203" s="329"/>
      <c r="E203" s="223"/>
      <c r="F203" s="281"/>
      <c r="G203" s="223"/>
      <c r="H203" s="283"/>
      <c r="I203" s="219">
        <f t="shared" si="12"/>
        <v>12933893.29</v>
      </c>
      <c r="J203" s="133"/>
    </row>
    <row r="204" hidden="1" spans="1:10">
      <c r="A204" s="305"/>
      <c r="B204" s="133"/>
      <c r="C204" s="281"/>
      <c r="D204" s="329"/>
      <c r="E204" s="223"/>
      <c r="F204" s="281"/>
      <c r="G204" s="223"/>
      <c r="H204" s="283"/>
      <c r="I204" s="219">
        <f t="shared" si="12"/>
        <v>12933893.29</v>
      </c>
      <c r="J204" s="133"/>
    </row>
    <row r="205" hidden="1" spans="1:10">
      <c r="A205" s="305"/>
      <c r="B205" s="133"/>
      <c r="C205" s="281"/>
      <c r="D205" s="329"/>
      <c r="E205" s="223"/>
      <c r="F205" s="281"/>
      <c r="G205" s="223"/>
      <c r="H205" s="283"/>
      <c r="I205" s="219">
        <f t="shared" si="12"/>
        <v>12933893.29</v>
      </c>
      <c r="J205" s="133"/>
    </row>
    <row r="206" hidden="1" spans="1:10">
      <c r="A206" s="305"/>
      <c r="B206" s="133"/>
      <c r="C206" s="281"/>
      <c r="D206" s="329"/>
      <c r="E206" s="223"/>
      <c r="F206" s="281"/>
      <c r="G206" s="223"/>
      <c r="H206" s="283"/>
      <c r="I206" s="219">
        <f t="shared" si="12"/>
        <v>12933893.29</v>
      </c>
      <c r="J206" s="133"/>
    </row>
    <row r="207" hidden="1" spans="1:10">
      <c r="A207" s="305"/>
      <c r="B207" s="133"/>
      <c r="C207" s="281"/>
      <c r="D207" s="329"/>
      <c r="E207" s="223"/>
      <c r="F207" s="281"/>
      <c r="G207" s="223"/>
      <c r="H207" s="283"/>
      <c r="I207" s="219">
        <f t="shared" si="12"/>
        <v>12933893.29</v>
      </c>
      <c r="J207" s="133"/>
    </row>
    <row r="208" hidden="1" spans="1:10">
      <c r="A208" s="305"/>
      <c r="B208" s="133">
        <v>20</v>
      </c>
      <c r="C208" s="281"/>
      <c r="D208" s="329"/>
      <c r="E208" s="223"/>
      <c r="F208" s="281"/>
      <c r="G208" s="223"/>
      <c r="H208" s="283"/>
      <c r="I208" s="219">
        <f t="shared" si="12"/>
        <v>12933893.29</v>
      </c>
      <c r="J208" s="133"/>
    </row>
    <row r="209" spans="1:10">
      <c r="A209" s="220" t="s">
        <v>54</v>
      </c>
      <c r="B209" s="339"/>
      <c r="C209" s="133"/>
      <c r="D209" s="222"/>
      <c r="E209" s="223">
        <f>SUM(E174:E208)</f>
        <v>7401896.19</v>
      </c>
      <c r="F209" s="133"/>
      <c r="G209" s="223">
        <f>SUM(G174:G208)</f>
        <v>6006944.86</v>
      </c>
      <c r="H209" s="283"/>
      <c r="I209" s="219">
        <f>I173+E209-G209</f>
        <v>12933893.29</v>
      </c>
      <c r="J209" s="133"/>
    </row>
    <row r="210" spans="1:10">
      <c r="A210" s="220" t="s">
        <v>56</v>
      </c>
      <c r="B210" s="339"/>
      <c r="C210" s="133"/>
      <c r="D210" s="222"/>
      <c r="E210" s="223">
        <f>E12+E53+E101+E137+E173+E209</f>
        <v>211187627.61</v>
      </c>
      <c r="F210" s="133"/>
      <c r="G210" s="223">
        <f>G101+G53+G12+G137+G173+G209</f>
        <v>198253734.32</v>
      </c>
      <c r="H210" s="283"/>
      <c r="I210" s="219">
        <f>E210-G210</f>
        <v>12933893.29</v>
      </c>
      <c r="J210" s="133"/>
    </row>
    <row r="216" spans="7:9">
      <c r="G216" s="355"/>
      <c r="H216" s="355"/>
      <c r="I216" s="110"/>
    </row>
  </sheetData>
  <mergeCells count="37">
    <mergeCell ref="A1:J1"/>
    <mergeCell ref="A12:B12"/>
    <mergeCell ref="A53:B53"/>
    <mergeCell ref="A101:B101"/>
    <mergeCell ref="A137:B137"/>
    <mergeCell ref="A173:B173"/>
    <mergeCell ref="A209:B209"/>
    <mergeCell ref="A210:B210"/>
    <mergeCell ref="G216:I216"/>
    <mergeCell ref="A3:A11"/>
    <mergeCell ref="A13:A52"/>
    <mergeCell ref="A54:A100"/>
    <mergeCell ref="A102:A136"/>
    <mergeCell ref="A138:A172"/>
    <mergeCell ref="A174:A208"/>
    <mergeCell ref="H13:H15"/>
    <mergeCell ref="H16:H18"/>
    <mergeCell ref="H19:H22"/>
    <mergeCell ref="H23:H25"/>
    <mergeCell ref="H26:H30"/>
    <mergeCell ref="H31:H32"/>
    <mergeCell ref="H33:H35"/>
    <mergeCell ref="H36:H37"/>
    <mergeCell ref="H38:H42"/>
    <mergeCell ref="H43:H45"/>
    <mergeCell ref="H46:H48"/>
    <mergeCell ref="H49:H52"/>
    <mergeCell ref="H54:H58"/>
    <mergeCell ref="H59:H60"/>
    <mergeCell ref="H61:H67"/>
    <mergeCell ref="H68:H71"/>
    <mergeCell ref="H72:H75"/>
    <mergeCell ref="H76:H79"/>
    <mergeCell ref="H80:H83"/>
    <mergeCell ref="H87:H88"/>
    <mergeCell ref="H89:H90"/>
    <mergeCell ref="H91:H93"/>
  </mergeCells>
  <pageMargins left="0.269444444444444" right="0.259722222222222" top="0.259722222222222" bottom="0.189583333333333" header="0.169444444444444" footer="0.169444444444444"/>
  <pageSetup paperSize="9" scale="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D21"/>
  <sheetViews>
    <sheetView workbookViewId="0">
      <selection activeCell="E8" sqref="E8"/>
    </sheetView>
  </sheetViews>
  <sheetFormatPr defaultColWidth="9" defaultRowHeight="14.25" outlineLevelCol="3"/>
  <cols>
    <col min="1" max="1" width="13.875" style="110" customWidth="1"/>
    <col min="2" max="4" width="19.5" style="110" customWidth="1"/>
  </cols>
  <sheetData>
    <row r="2" ht="43.5" customHeight="1" spans="1:4">
      <c r="A2" s="270" t="s">
        <v>57</v>
      </c>
      <c r="B2" s="270"/>
      <c r="C2" s="270"/>
      <c r="D2" s="270"/>
    </row>
    <row r="3" ht="23.25" customHeight="1" spans="1:4">
      <c r="A3" s="271" t="s">
        <v>0</v>
      </c>
      <c r="B3" s="272" t="s">
        <v>58</v>
      </c>
      <c r="C3" s="272" t="s">
        <v>59</v>
      </c>
      <c r="D3" s="272" t="s">
        <v>60</v>
      </c>
    </row>
    <row r="4" ht="23.25" customHeight="1" spans="1:4">
      <c r="A4" s="271" t="s">
        <v>11</v>
      </c>
      <c r="B4" s="273">
        <f>'15年总表'!J3</f>
        <v>0</v>
      </c>
      <c r="C4" s="273" t="e">
        <f>#REF!</f>
        <v>#REF!</v>
      </c>
      <c r="D4" s="273" t="e">
        <f>#REF!+#REF!</f>
        <v>#REF!</v>
      </c>
    </row>
    <row r="5" ht="23.25" customHeight="1" spans="1:4">
      <c r="A5" s="271" t="s">
        <v>14</v>
      </c>
      <c r="B5" s="273"/>
      <c r="C5" s="273" t="e">
        <f>#REF!</f>
        <v>#REF!</v>
      </c>
      <c r="D5" s="273">
        <f>2569071.22+2327872.57+1891465.45</f>
        <v>6788409.24</v>
      </c>
    </row>
    <row r="6" ht="23.25" customHeight="1" spans="1:4">
      <c r="A6" s="271" t="s">
        <v>17</v>
      </c>
      <c r="B6" s="273" t="e">
        <f>#REF!+#REF!</f>
        <v>#REF!</v>
      </c>
      <c r="C6" s="273" t="e">
        <f>#REF!</f>
        <v>#REF!</v>
      </c>
      <c r="D6" s="273" t="e">
        <f>#REF!</f>
        <v>#REF!</v>
      </c>
    </row>
    <row r="7" ht="23.25" customHeight="1" spans="1:4">
      <c r="A7" s="271" t="s">
        <v>19</v>
      </c>
      <c r="B7" s="273" t="e">
        <f>#REF!</f>
        <v>#REF!</v>
      </c>
      <c r="C7" s="273" t="e">
        <f>#REF!</f>
        <v>#REF!</v>
      </c>
      <c r="D7" s="273" t="e">
        <f>#REF!</f>
        <v>#REF!</v>
      </c>
    </row>
    <row r="8" ht="23.25" customHeight="1" spans="1:4">
      <c r="A8" s="271" t="s">
        <v>21</v>
      </c>
      <c r="B8" s="273" t="e">
        <f>SUM(#REF!)</f>
        <v>#REF!</v>
      </c>
      <c r="C8" s="273" t="e">
        <f>SUM(#REF!)</f>
        <v>#REF!</v>
      </c>
      <c r="D8" s="273" t="e">
        <f>SUM(#REF!)</f>
        <v>#REF!</v>
      </c>
    </row>
    <row r="9" ht="23.25" customHeight="1" spans="1:4">
      <c r="A9" s="271" t="s">
        <v>23</v>
      </c>
      <c r="B9" s="273" t="e">
        <f>'15年总表'!J8</f>
        <v>#REF!</v>
      </c>
      <c r="C9" s="273" t="e">
        <f>#REF!</f>
        <v>#REF!</v>
      </c>
      <c r="D9" s="273"/>
    </row>
    <row r="10" ht="23.25" customHeight="1" spans="1:4">
      <c r="A10" s="271" t="s">
        <v>24</v>
      </c>
      <c r="B10" s="273" t="e">
        <f>'15年总表'!J9</f>
        <v>#REF!</v>
      </c>
      <c r="C10" s="273" t="e">
        <f>#REF!</f>
        <v>#REF!</v>
      </c>
      <c r="D10" s="273"/>
    </row>
    <row r="11" ht="23.25" customHeight="1" spans="1:4">
      <c r="A11" s="271" t="s">
        <v>26</v>
      </c>
      <c r="B11" s="273" t="e">
        <f>#REF!+#REF!</f>
        <v>#REF!</v>
      </c>
      <c r="C11" s="273" t="e">
        <f>#REF!</f>
        <v>#REF!</v>
      </c>
      <c r="D11" s="273" t="e">
        <f>#REF!</f>
        <v>#REF!</v>
      </c>
    </row>
    <row r="12" ht="23.25" customHeight="1" spans="1:4">
      <c r="A12" s="271" t="s">
        <v>27</v>
      </c>
      <c r="B12" s="273" t="e">
        <f>#REF!</f>
        <v>#REF!</v>
      </c>
      <c r="C12" s="273" t="e">
        <f>#REF!</f>
        <v>#REF!</v>
      </c>
      <c r="D12" s="273" t="e">
        <f>#REF!</f>
        <v>#REF!</v>
      </c>
    </row>
    <row r="13" ht="23.25" customHeight="1" spans="1:4">
      <c r="A13" s="271" t="s">
        <v>28</v>
      </c>
      <c r="B13" s="273" t="e">
        <f>SUM(B4:B12)</f>
        <v>#REF!</v>
      </c>
      <c r="C13" s="273" t="e">
        <f>SUM(C4:C12)</f>
        <v>#REF!</v>
      </c>
      <c r="D13" s="273" t="e">
        <f>SUM(D4:D12)</f>
        <v>#REF!</v>
      </c>
    </row>
    <row r="14" spans="2:4">
      <c r="B14" s="274"/>
      <c r="C14" s="274"/>
      <c r="D14" s="274"/>
    </row>
    <row r="15" spans="2:4">
      <c r="B15" s="274"/>
      <c r="C15" s="274"/>
      <c r="D15" s="274"/>
    </row>
    <row r="16" spans="2:4">
      <c r="B16" s="274"/>
      <c r="C16" s="274"/>
      <c r="D16" s="274"/>
    </row>
    <row r="17" spans="2:4">
      <c r="B17" s="274"/>
      <c r="C17" s="274"/>
      <c r="D17" s="274"/>
    </row>
    <row r="18" spans="2:4">
      <c r="B18" s="274"/>
      <c r="C18" s="274"/>
      <c r="D18" s="274"/>
    </row>
    <row r="19" spans="2:4">
      <c r="B19" s="274"/>
      <c r="C19" s="274"/>
      <c r="D19" s="274"/>
    </row>
    <row r="20" spans="2:4">
      <c r="B20" s="274"/>
      <c r="C20" s="274"/>
      <c r="D20" s="274"/>
    </row>
    <row r="21" spans="2:4">
      <c r="B21" s="274"/>
      <c r="C21" s="274"/>
      <c r="D21" s="274"/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4"/>
  </sheetPr>
  <dimension ref="A1:N28"/>
  <sheetViews>
    <sheetView showGridLines="0" workbookViewId="0">
      <selection activeCell="S12" sqref="S12"/>
    </sheetView>
  </sheetViews>
  <sheetFormatPr defaultColWidth="9" defaultRowHeight="14.25"/>
  <sheetData>
    <row r="1" spans="1:14">
      <c r="A1" s="238" t="s">
        <v>61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ht="15" spans="1:14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ht="15"/>
    <row r="7" ht="19.5" customHeight="1" spans="1:1">
      <c r="A7" s="240" t="s">
        <v>62</v>
      </c>
    </row>
    <row r="8" ht="21" customHeight="1" spans="1:14">
      <c r="A8" s="241" t="s">
        <v>0</v>
      </c>
      <c r="B8" s="242" t="s">
        <v>60</v>
      </c>
      <c r="C8" s="242" t="s">
        <v>63</v>
      </c>
      <c r="D8" s="242" t="s">
        <v>64</v>
      </c>
      <c r="E8" s="242" t="s">
        <v>65</v>
      </c>
      <c r="F8" s="242" t="s">
        <v>66</v>
      </c>
      <c r="G8" s="242" t="s">
        <v>67</v>
      </c>
      <c r="H8" s="242" t="s">
        <v>68</v>
      </c>
      <c r="I8" s="242" t="s">
        <v>69</v>
      </c>
      <c r="J8" s="242" t="s">
        <v>70</v>
      </c>
      <c r="K8" s="242" t="s">
        <v>71</v>
      </c>
      <c r="L8" s="242" t="s">
        <v>72</v>
      </c>
      <c r="M8" s="242" t="s">
        <v>73</v>
      </c>
      <c r="N8" s="261" t="s">
        <v>28</v>
      </c>
    </row>
    <row r="9" ht="21" customHeight="1" spans="1:14">
      <c r="A9" s="243" t="s">
        <v>74</v>
      </c>
      <c r="B9" s="244">
        <v>100</v>
      </c>
      <c r="C9" s="244">
        <v>200</v>
      </c>
      <c r="D9" s="244">
        <v>300</v>
      </c>
      <c r="E9" s="244">
        <v>400</v>
      </c>
      <c r="F9" s="244">
        <v>300</v>
      </c>
      <c r="G9" s="244">
        <v>400</v>
      </c>
      <c r="H9" s="244">
        <v>400</v>
      </c>
      <c r="I9" s="244">
        <v>500</v>
      </c>
      <c r="J9" s="244">
        <v>600</v>
      </c>
      <c r="K9" s="244">
        <v>700</v>
      </c>
      <c r="L9" s="244">
        <v>900</v>
      </c>
      <c r="M9" s="244">
        <v>1000</v>
      </c>
      <c r="N9" s="262">
        <f t="shared" ref="N9:N11" si="0">SUM(B9:M9)</f>
        <v>5800</v>
      </c>
    </row>
    <row r="10" ht="21" customHeight="1" spans="1:14">
      <c r="A10" s="243" t="s">
        <v>75</v>
      </c>
      <c r="B10" s="244">
        <v>200</v>
      </c>
      <c r="C10" s="244">
        <v>300</v>
      </c>
      <c r="D10" s="244">
        <v>300</v>
      </c>
      <c r="E10" s="244">
        <v>500</v>
      </c>
      <c r="F10" s="244">
        <v>400</v>
      </c>
      <c r="G10" s="244">
        <v>500</v>
      </c>
      <c r="H10" s="244">
        <v>600</v>
      </c>
      <c r="I10" s="244">
        <v>700</v>
      </c>
      <c r="J10" s="244">
        <v>800</v>
      </c>
      <c r="K10" s="244">
        <v>800</v>
      </c>
      <c r="L10" s="244">
        <v>900</v>
      </c>
      <c r="M10" s="244">
        <v>800</v>
      </c>
      <c r="N10" s="262">
        <f t="shared" si="0"/>
        <v>6800</v>
      </c>
    </row>
    <row r="11" ht="21" customHeight="1" spans="1:14">
      <c r="A11" s="243" t="s">
        <v>76</v>
      </c>
      <c r="B11" s="244">
        <v>300</v>
      </c>
      <c r="C11" s="244">
        <v>200</v>
      </c>
      <c r="D11" s="244">
        <v>300</v>
      </c>
      <c r="E11" s="244">
        <v>300</v>
      </c>
      <c r="F11" s="244">
        <v>200</v>
      </c>
      <c r="G11" s="244">
        <v>400</v>
      </c>
      <c r="H11" s="244">
        <v>400</v>
      </c>
      <c r="I11" s="244">
        <v>300</v>
      </c>
      <c r="J11" s="244">
        <v>400</v>
      </c>
      <c r="K11" s="244">
        <v>500</v>
      </c>
      <c r="L11" s="244">
        <v>500</v>
      </c>
      <c r="M11" s="244">
        <v>500</v>
      </c>
      <c r="N11" s="262">
        <f t="shared" si="0"/>
        <v>4300</v>
      </c>
    </row>
    <row r="12" ht="21" customHeight="1" spans="1:14">
      <c r="A12" s="245" t="s">
        <v>28</v>
      </c>
      <c r="B12" s="246">
        <f>SUM(B9:B11)</f>
        <v>600</v>
      </c>
      <c r="C12" s="246">
        <f t="shared" ref="C12:N12" si="1">SUM(C9:C11)</f>
        <v>700</v>
      </c>
      <c r="D12" s="246">
        <f t="shared" si="1"/>
        <v>900</v>
      </c>
      <c r="E12" s="246">
        <f t="shared" si="1"/>
        <v>1200</v>
      </c>
      <c r="F12" s="246">
        <f t="shared" si="1"/>
        <v>900</v>
      </c>
      <c r="G12" s="246">
        <f t="shared" si="1"/>
        <v>1300</v>
      </c>
      <c r="H12" s="246">
        <f t="shared" si="1"/>
        <v>1400</v>
      </c>
      <c r="I12" s="246">
        <f t="shared" si="1"/>
        <v>1500</v>
      </c>
      <c r="J12" s="246">
        <f t="shared" si="1"/>
        <v>1800</v>
      </c>
      <c r="K12" s="246">
        <f t="shared" si="1"/>
        <v>2000</v>
      </c>
      <c r="L12" s="246">
        <f t="shared" si="1"/>
        <v>2300</v>
      </c>
      <c r="M12" s="246">
        <f t="shared" si="1"/>
        <v>2300</v>
      </c>
      <c r="N12" s="263">
        <f t="shared" si="1"/>
        <v>16900</v>
      </c>
    </row>
    <row r="15" ht="19.5" customHeight="1" spans="1:1">
      <c r="A15" s="247" t="s">
        <v>77</v>
      </c>
    </row>
    <row r="16" ht="19.5" customHeight="1" spans="1:14">
      <c r="A16" s="248" t="s">
        <v>0</v>
      </c>
      <c r="B16" s="249" t="s">
        <v>60</v>
      </c>
      <c r="C16" s="249" t="s">
        <v>63</v>
      </c>
      <c r="D16" s="249" t="s">
        <v>64</v>
      </c>
      <c r="E16" s="249" t="s">
        <v>65</v>
      </c>
      <c r="F16" s="249" t="s">
        <v>66</v>
      </c>
      <c r="G16" s="249" t="s">
        <v>67</v>
      </c>
      <c r="H16" s="249" t="s">
        <v>68</v>
      </c>
      <c r="I16" s="249" t="s">
        <v>69</v>
      </c>
      <c r="J16" s="249" t="s">
        <v>70</v>
      </c>
      <c r="K16" s="249" t="s">
        <v>71</v>
      </c>
      <c r="L16" s="249" t="s">
        <v>72</v>
      </c>
      <c r="M16" s="249" t="s">
        <v>73</v>
      </c>
      <c r="N16" s="264" t="s">
        <v>28</v>
      </c>
    </row>
    <row r="17" ht="19.5" customHeight="1" spans="1:14">
      <c r="A17" s="250" t="s">
        <v>74</v>
      </c>
      <c r="B17" s="251">
        <v>10</v>
      </c>
      <c r="C17" s="251">
        <v>8</v>
      </c>
      <c r="D17" s="251">
        <v>9</v>
      </c>
      <c r="E17" s="251">
        <v>5</v>
      </c>
      <c r="F17" s="251">
        <v>3</v>
      </c>
      <c r="G17" s="251">
        <v>4</v>
      </c>
      <c r="H17" s="251">
        <v>10</v>
      </c>
      <c r="I17" s="251">
        <v>8</v>
      </c>
      <c r="J17" s="251">
        <v>6</v>
      </c>
      <c r="K17" s="251">
        <v>7</v>
      </c>
      <c r="L17" s="251">
        <v>14</v>
      </c>
      <c r="M17" s="251">
        <v>20</v>
      </c>
      <c r="N17" s="265">
        <f t="shared" ref="N17:N19" si="2">SUM(B17:M17)</f>
        <v>104</v>
      </c>
    </row>
    <row r="18" ht="19.5" customHeight="1" spans="1:14">
      <c r="A18" s="250" t="s">
        <v>75</v>
      </c>
      <c r="B18" s="251">
        <v>3</v>
      </c>
      <c r="C18" s="251">
        <v>5</v>
      </c>
      <c r="D18" s="251">
        <v>5</v>
      </c>
      <c r="E18" s="251">
        <v>4</v>
      </c>
      <c r="F18" s="251">
        <v>3</v>
      </c>
      <c r="G18" s="251">
        <v>2</v>
      </c>
      <c r="H18" s="251">
        <v>3</v>
      </c>
      <c r="I18" s="251">
        <v>9</v>
      </c>
      <c r="J18" s="251">
        <v>3</v>
      </c>
      <c r="K18" s="251">
        <v>4</v>
      </c>
      <c r="L18" s="251">
        <v>5</v>
      </c>
      <c r="M18" s="251">
        <v>7</v>
      </c>
      <c r="N18" s="265">
        <f t="shared" si="2"/>
        <v>53</v>
      </c>
    </row>
    <row r="19" ht="19.5" customHeight="1" spans="1:14">
      <c r="A19" s="250" t="s">
        <v>76</v>
      </c>
      <c r="B19" s="251">
        <v>11</v>
      </c>
      <c r="C19" s="251">
        <v>12</v>
      </c>
      <c r="D19" s="251">
        <v>10</v>
      </c>
      <c r="E19" s="251">
        <v>8</v>
      </c>
      <c r="F19" s="251">
        <v>15</v>
      </c>
      <c r="G19" s="251">
        <v>13</v>
      </c>
      <c r="H19" s="251">
        <v>12</v>
      </c>
      <c r="I19" s="251">
        <v>11</v>
      </c>
      <c r="J19" s="251">
        <v>15</v>
      </c>
      <c r="K19" s="251">
        <v>20</v>
      </c>
      <c r="L19" s="251">
        <v>12</v>
      </c>
      <c r="M19" s="251">
        <v>12</v>
      </c>
      <c r="N19" s="265">
        <f t="shared" si="2"/>
        <v>151</v>
      </c>
    </row>
    <row r="20" ht="19.5" customHeight="1" spans="1:14">
      <c r="A20" s="252" t="s">
        <v>28</v>
      </c>
      <c r="B20" s="253">
        <f>SUM(B17:B19)</f>
        <v>24</v>
      </c>
      <c r="C20" s="253">
        <f t="shared" ref="C20" si="3">SUM(C17:C19)</f>
        <v>25</v>
      </c>
      <c r="D20" s="253">
        <f t="shared" ref="D20" si="4">SUM(D17:D19)</f>
        <v>24</v>
      </c>
      <c r="E20" s="253">
        <f t="shared" ref="E20" si="5">SUM(E17:E19)</f>
        <v>17</v>
      </c>
      <c r="F20" s="253">
        <f t="shared" ref="F20" si="6">SUM(F17:F19)</f>
        <v>21</v>
      </c>
      <c r="G20" s="253">
        <f t="shared" ref="G20" si="7">SUM(G17:G19)</f>
        <v>19</v>
      </c>
      <c r="H20" s="253">
        <f t="shared" ref="H20" si="8">SUM(H17:H19)</f>
        <v>25</v>
      </c>
      <c r="I20" s="253">
        <f t="shared" ref="I20" si="9">SUM(I17:I19)</f>
        <v>28</v>
      </c>
      <c r="J20" s="253">
        <f t="shared" ref="J20" si="10">SUM(J17:J19)</f>
        <v>24</v>
      </c>
      <c r="K20" s="253">
        <f t="shared" ref="K20" si="11">SUM(K17:K19)</f>
        <v>31</v>
      </c>
      <c r="L20" s="253">
        <f t="shared" ref="L20" si="12">SUM(L17:L19)</f>
        <v>31</v>
      </c>
      <c r="M20" s="253">
        <f t="shared" ref="M20" si="13">SUM(M17:M19)</f>
        <v>39</v>
      </c>
      <c r="N20" s="266">
        <f t="shared" ref="N20" si="14">SUM(N17:N19)</f>
        <v>308</v>
      </c>
    </row>
    <row r="23" ht="19.5" customHeight="1" spans="1:1">
      <c r="A23" s="254" t="s">
        <v>78</v>
      </c>
    </row>
    <row r="24" ht="19.5" customHeight="1" spans="1:14">
      <c r="A24" s="255" t="s">
        <v>0</v>
      </c>
      <c r="B24" s="256" t="s">
        <v>60</v>
      </c>
      <c r="C24" s="256" t="s">
        <v>63</v>
      </c>
      <c r="D24" s="256" t="s">
        <v>64</v>
      </c>
      <c r="E24" s="256" t="s">
        <v>65</v>
      </c>
      <c r="F24" s="256" t="s">
        <v>66</v>
      </c>
      <c r="G24" s="256" t="s">
        <v>67</v>
      </c>
      <c r="H24" s="256" t="s">
        <v>68</v>
      </c>
      <c r="I24" s="256" t="s">
        <v>69</v>
      </c>
      <c r="J24" s="256" t="s">
        <v>70</v>
      </c>
      <c r="K24" s="256" t="s">
        <v>71</v>
      </c>
      <c r="L24" s="256" t="s">
        <v>72</v>
      </c>
      <c r="M24" s="256" t="s">
        <v>73</v>
      </c>
      <c r="N24" s="267" t="s">
        <v>79</v>
      </c>
    </row>
    <row r="25" ht="19.5" customHeight="1" spans="1:14">
      <c r="A25" s="257" t="s">
        <v>74</v>
      </c>
      <c r="B25" s="258">
        <f>B17/B9</f>
        <v>0.1</v>
      </c>
      <c r="C25" s="258">
        <f t="shared" ref="C25:N25" si="15">C17/C9</f>
        <v>0.04</v>
      </c>
      <c r="D25" s="258">
        <f t="shared" si="15"/>
        <v>0.03</v>
      </c>
      <c r="E25" s="258">
        <f t="shared" si="15"/>
        <v>0.0125</v>
      </c>
      <c r="F25" s="258">
        <f t="shared" si="15"/>
        <v>0.01</v>
      </c>
      <c r="G25" s="258">
        <f t="shared" si="15"/>
        <v>0.01</v>
      </c>
      <c r="H25" s="258">
        <f t="shared" si="15"/>
        <v>0.025</v>
      </c>
      <c r="I25" s="258">
        <f t="shared" si="15"/>
        <v>0.016</v>
      </c>
      <c r="J25" s="258">
        <f t="shared" si="15"/>
        <v>0.01</v>
      </c>
      <c r="K25" s="258">
        <f t="shared" si="15"/>
        <v>0.01</v>
      </c>
      <c r="L25" s="258">
        <f t="shared" si="15"/>
        <v>0.0155555555555556</v>
      </c>
      <c r="M25" s="258">
        <f t="shared" si="15"/>
        <v>0.02</v>
      </c>
      <c r="N25" s="268">
        <f t="shared" si="15"/>
        <v>0.0179310344827586</v>
      </c>
    </row>
    <row r="26" ht="19.5" customHeight="1" spans="1:14">
      <c r="A26" s="257" t="s">
        <v>75</v>
      </c>
      <c r="B26" s="258">
        <f t="shared" ref="B26:N28" si="16">B18/B10</f>
        <v>0.015</v>
      </c>
      <c r="C26" s="258">
        <f t="shared" si="16"/>
        <v>0.0166666666666667</v>
      </c>
      <c r="D26" s="258">
        <f t="shared" si="16"/>
        <v>0.0166666666666667</v>
      </c>
      <c r="E26" s="258">
        <f t="shared" si="16"/>
        <v>0.008</v>
      </c>
      <c r="F26" s="258">
        <f t="shared" si="16"/>
        <v>0.0075</v>
      </c>
      <c r="G26" s="258">
        <f t="shared" si="16"/>
        <v>0.004</v>
      </c>
      <c r="H26" s="258">
        <f t="shared" si="16"/>
        <v>0.005</v>
      </c>
      <c r="I26" s="258">
        <f t="shared" si="16"/>
        <v>0.0128571428571429</v>
      </c>
      <c r="J26" s="258">
        <f t="shared" si="16"/>
        <v>0.00375</v>
      </c>
      <c r="K26" s="258">
        <f t="shared" si="16"/>
        <v>0.005</v>
      </c>
      <c r="L26" s="258">
        <f t="shared" si="16"/>
        <v>0.00555555555555556</v>
      </c>
      <c r="M26" s="258">
        <f t="shared" si="16"/>
        <v>0.00875</v>
      </c>
      <c r="N26" s="268">
        <f t="shared" si="16"/>
        <v>0.00779411764705882</v>
      </c>
    </row>
    <row r="27" ht="19.5" customHeight="1" spans="1:14">
      <c r="A27" s="257" t="s">
        <v>76</v>
      </c>
      <c r="B27" s="258">
        <f t="shared" si="16"/>
        <v>0.0366666666666667</v>
      </c>
      <c r="C27" s="258">
        <f t="shared" si="16"/>
        <v>0.06</v>
      </c>
      <c r="D27" s="258">
        <f t="shared" si="16"/>
        <v>0.0333333333333333</v>
      </c>
      <c r="E27" s="258">
        <f t="shared" si="16"/>
        <v>0.0266666666666667</v>
      </c>
      <c r="F27" s="258">
        <f t="shared" si="16"/>
        <v>0.075</v>
      </c>
      <c r="G27" s="258">
        <f t="shared" si="16"/>
        <v>0.0325</v>
      </c>
      <c r="H27" s="258">
        <f t="shared" si="16"/>
        <v>0.03</v>
      </c>
      <c r="I27" s="258">
        <f t="shared" si="16"/>
        <v>0.0366666666666667</v>
      </c>
      <c r="J27" s="258">
        <f t="shared" si="16"/>
        <v>0.0375</v>
      </c>
      <c r="K27" s="258">
        <f t="shared" si="16"/>
        <v>0.04</v>
      </c>
      <c r="L27" s="258">
        <f t="shared" si="16"/>
        <v>0.024</v>
      </c>
      <c r="M27" s="258">
        <f t="shared" si="16"/>
        <v>0.024</v>
      </c>
      <c r="N27" s="268">
        <f t="shared" si="16"/>
        <v>0.0351162790697674</v>
      </c>
    </row>
    <row r="28" ht="19.5" customHeight="1" spans="1:14">
      <c r="A28" s="259" t="s">
        <v>79</v>
      </c>
      <c r="B28" s="260">
        <f t="shared" si="16"/>
        <v>0.04</v>
      </c>
      <c r="C28" s="260">
        <f t="shared" si="16"/>
        <v>0.0357142857142857</v>
      </c>
      <c r="D28" s="260">
        <f t="shared" si="16"/>
        <v>0.0266666666666667</v>
      </c>
      <c r="E28" s="260">
        <f t="shared" si="16"/>
        <v>0.0141666666666667</v>
      </c>
      <c r="F28" s="260">
        <f t="shared" si="16"/>
        <v>0.0233333333333333</v>
      </c>
      <c r="G28" s="260">
        <f t="shared" si="16"/>
        <v>0.0146153846153846</v>
      </c>
      <c r="H28" s="260">
        <f t="shared" si="16"/>
        <v>0.0178571428571429</v>
      </c>
      <c r="I28" s="260">
        <f t="shared" si="16"/>
        <v>0.0186666666666667</v>
      </c>
      <c r="J28" s="260">
        <f t="shared" si="16"/>
        <v>0.0133333333333333</v>
      </c>
      <c r="K28" s="260">
        <f t="shared" si="16"/>
        <v>0.0155</v>
      </c>
      <c r="L28" s="260">
        <f t="shared" si="16"/>
        <v>0.0134782608695652</v>
      </c>
      <c r="M28" s="260">
        <f t="shared" si="16"/>
        <v>0.0169565217391304</v>
      </c>
      <c r="N28" s="269">
        <f t="shared" si="16"/>
        <v>0.0182248520710059</v>
      </c>
    </row>
  </sheetData>
  <mergeCells count="1">
    <mergeCell ref="A1:N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</sheetPr>
  <dimension ref="A1:R22"/>
  <sheetViews>
    <sheetView showGridLines="0" tabSelected="1" workbookViewId="0">
      <selection activeCell="O12" sqref="O12"/>
    </sheetView>
  </sheetViews>
  <sheetFormatPr defaultColWidth="9" defaultRowHeight="14.25"/>
  <cols>
    <col min="1" max="13" width="10.625" customWidth="1"/>
    <col min="14" max="19" width="13.875" customWidth="1"/>
  </cols>
  <sheetData>
    <row r="1" ht="20.25" customHeight="1" spans="1:10">
      <c r="A1" s="228"/>
      <c r="B1" s="228"/>
      <c r="C1" s="228"/>
      <c r="D1" s="228"/>
      <c r="E1" s="228"/>
      <c r="F1" s="228"/>
      <c r="G1" s="228"/>
      <c r="H1" s="228"/>
      <c r="I1" s="228"/>
      <c r="J1" s="228"/>
    </row>
    <row r="2" ht="20.25" customHeight="1"/>
    <row r="3" ht="20.25" customHeight="1" spans="18:18">
      <c r="R3" s="234"/>
    </row>
    <row r="4" ht="20.25" customHeight="1" spans="18:18">
      <c r="R4" s="235"/>
    </row>
    <row r="5" ht="20.25" customHeight="1" spans="18:18">
      <c r="R5" s="236"/>
    </row>
    <row r="6" ht="20.25" customHeight="1" spans="18:18">
      <c r="R6" s="237"/>
    </row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 spans="1:4">
      <c r="A16" s="9" t="s">
        <v>0</v>
      </c>
      <c r="B16" s="9" t="s">
        <v>80</v>
      </c>
      <c r="C16" s="9" t="s">
        <v>77</v>
      </c>
      <c r="D16" s="228"/>
    </row>
    <row r="17" ht="20.25" customHeight="1" spans="1:4">
      <c r="A17" s="9" t="s">
        <v>74</v>
      </c>
      <c r="B17" s="229">
        <f>数据表!N9</f>
        <v>5800</v>
      </c>
      <c r="C17" s="230">
        <f>数据表!N17</f>
        <v>104</v>
      </c>
      <c r="D17" s="228"/>
    </row>
    <row r="18" ht="20.25" customHeight="1" spans="1:4">
      <c r="A18" s="9" t="s">
        <v>75</v>
      </c>
      <c r="B18" s="229">
        <f>数据表!N10</f>
        <v>6800</v>
      </c>
      <c r="C18" s="230">
        <f>数据表!N18</f>
        <v>53</v>
      </c>
      <c r="D18" s="228"/>
    </row>
    <row r="19" ht="20.25" customHeight="1" spans="1:4">
      <c r="A19" s="9" t="s">
        <v>76</v>
      </c>
      <c r="B19" s="229">
        <f>数据表!N11</f>
        <v>4300</v>
      </c>
      <c r="C19" s="230">
        <f>数据表!N19</f>
        <v>151</v>
      </c>
      <c r="D19" s="228"/>
    </row>
    <row r="20" ht="20.25" customHeight="1" spans="1:4">
      <c r="A20" s="9" t="s">
        <v>28</v>
      </c>
      <c r="B20" s="229">
        <f>SUM(B17:B19)</f>
        <v>16900</v>
      </c>
      <c r="C20" s="230">
        <f>SUM(C17:C19)</f>
        <v>308</v>
      </c>
      <c r="D20" s="228"/>
    </row>
    <row r="21" ht="20.25" customHeight="1"/>
    <row r="22" ht="20.25" customHeight="1"/>
  </sheetData>
  <printOptions horizontalCentered="1"/>
  <pageMargins left="0.314583333333333" right="0.314583333333333" top="0.354166666666667" bottom="0.354166666666667" header="0.314583333333333" footer="0.314583333333333"/>
  <pageSetup paperSize="9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  <pageSetUpPr fitToPage="1"/>
  </sheetPr>
  <dimension ref="A1:N22"/>
  <sheetViews>
    <sheetView showGridLines="0" workbookViewId="0">
      <selection activeCell="Q6" sqref="Q6"/>
    </sheetView>
  </sheetViews>
  <sheetFormatPr defaultColWidth="9" defaultRowHeight="14.25"/>
  <cols>
    <col min="1" max="14" width="10.625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20.25" customHeight="1"/>
    <row r="19" ht="27.75" customHeight="1" spans="1:14">
      <c r="A19" s="9" t="s">
        <v>81</v>
      </c>
      <c r="B19" s="9" t="s">
        <v>60</v>
      </c>
      <c r="C19" s="9" t="s">
        <v>63</v>
      </c>
      <c r="D19" s="9" t="s">
        <v>64</v>
      </c>
      <c r="E19" s="9" t="s">
        <v>65</v>
      </c>
      <c r="F19" s="9" t="s">
        <v>66</v>
      </c>
      <c r="G19" s="9" t="s">
        <v>67</v>
      </c>
      <c r="H19" s="9" t="s">
        <v>68</v>
      </c>
      <c r="I19" s="9" t="s">
        <v>69</v>
      </c>
      <c r="J19" s="9" t="s">
        <v>70</v>
      </c>
      <c r="K19" s="9" t="s">
        <v>71</v>
      </c>
      <c r="L19" s="9" t="s">
        <v>72</v>
      </c>
      <c r="M19" s="9" t="s">
        <v>73</v>
      </c>
      <c r="N19" s="233" t="s">
        <v>79</v>
      </c>
    </row>
    <row r="20" ht="27.75" customHeight="1" spans="1:14">
      <c r="A20" s="9" t="s">
        <v>74</v>
      </c>
      <c r="B20" s="232">
        <f>数据表!B25</f>
        <v>0.1</v>
      </c>
      <c r="C20" s="232">
        <f>数据表!C25</f>
        <v>0.04</v>
      </c>
      <c r="D20" s="232">
        <f>数据表!D25</f>
        <v>0.03</v>
      </c>
      <c r="E20" s="232">
        <f>数据表!E25</f>
        <v>0.0125</v>
      </c>
      <c r="F20" s="232">
        <f>数据表!F25</f>
        <v>0.01</v>
      </c>
      <c r="G20" s="232">
        <f>数据表!G25</f>
        <v>0.01</v>
      </c>
      <c r="H20" s="232">
        <f>数据表!H25</f>
        <v>0.025</v>
      </c>
      <c r="I20" s="232">
        <f>数据表!I25</f>
        <v>0.016</v>
      </c>
      <c r="J20" s="232">
        <f>数据表!J25</f>
        <v>0.01</v>
      </c>
      <c r="K20" s="232">
        <f>数据表!K25</f>
        <v>0.01</v>
      </c>
      <c r="L20" s="232">
        <f>数据表!L25</f>
        <v>0.0155555555555556</v>
      </c>
      <c r="M20" s="232">
        <f>数据表!M25</f>
        <v>0.02</v>
      </c>
      <c r="N20" s="232">
        <f>数据表!N25</f>
        <v>0.0179310344827586</v>
      </c>
    </row>
    <row r="21" ht="27.75" customHeight="1" spans="1:14">
      <c r="A21" s="9" t="s">
        <v>75</v>
      </c>
      <c r="B21" s="232">
        <f>数据表!B26</f>
        <v>0.015</v>
      </c>
      <c r="C21" s="232">
        <f>数据表!C26</f>
        <v>0.0166666666666667</v>
      </c>
      <c r="D21" s="232">
        <f>数据表!D26</f>
        <v>0.0166666666666667</v>
      </c>
      <c r="E21" s="232">
        <f>数据表!E26</f>
        <v>0.008</v>
      </c>
      <c r="F21" s="232">
        <f>数据表!F26</f>
        <v>0.0075</v>
      </c>
      <c r="G21" s="232">
        <f>数据表!G26</f>
        <v>0.004</v>
      </c>
      <c r="H21" s="232">
        <f>数据表!H26</f>
        <v>0.005</v>
      </c>
      <c r="I21" s="232">
        <f>数据表!I26</f>
        <v>0.0128571428571429</v>
      </c>
      <c r="J21" s="232">
        <f>数据表!J26</f>
        <v>0.00375</v>
      </c>
      <c r="K21" s="232">
        <f>数据表!K26</f>
        <v>0.005</v>
      </c>
      <c r="L21" s="232">
        <f>数据表!L26</f>
        <v>0.00555555555555556</v>
      </c>
      <c r="M21" s="232">
        <f>数据表!M26</f>
        <v>0.00875</v>
      </c>
      <c r="N21" s="232">
        <f>数据表!N26</f>
        <v>0.00779411764705882</v>
      </c>
    </row>
    <row r="22" ht="27.75" customHeight="1" spans="1:14">
      <c r="A22" s="9" t="s">
        <v>76</v>
      </c>
      <c r="B22" s="232">
        <f>数据表!B27</f>
        <v>0.0366666666666667</v>
      </c>
      <c r="C22" s="232">
        <f>数据表!C27</f>
        <v>0.06</v>
      </c>
      <c r="D22" s="232">
        <f>数据表!D27</f>
        <v>0.0333333333333333</v>
      </c>
      <c r="E22" s="232">
        <f>数据表!E27</f>
        <v>0.0266666666666667</v>
      </c>
      <c r="F22" s="232">
        <f>数据表!F27</f>
        <v>0.075</v>
      </c>
      <c r="G22" s="232">
        <f>数据表!G27</f>
        <v>0.0325</v>
      </c>
      <c r="H22" s="232">
        <f>数据表!H27</f>
        <v>0.03</v>
      </c>
      <c r="I22" s="232">
        <f>数据表!I27</f>
        <v>0.0366666666666667</v>
      </c>
      <c r="J22" s="232">
        <f>数据表!J27</f>
        <v>0.0375</v>
      </c>
      <c r="K22" s="232">
        <f>数据表!K27</f>
        <v>0.04</v>
      </c>
      <c r="L22" s="232">
        <f>数据表!L27</f>
        <v>0.024</v>
      </c>
      <c r="M22" s="232">
        <f>数据表!M27</f>
        <v>0.024</v>
      </c>
      <c r="N22" s="232">
        <f>数据表!N27</f>
        <v>0.0351162790697674</v>
      </c>
    </row>
  </sheetData>
  <pageMargins left="0.708333333333333" right="0.708333333333333" top="0.747916666666667" bottom="0.747916666666667" header="0.314583333333333" footer="0.314583333333333"/>
  <pageSetup paperSize="9" scale="82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00000"/>
    <pageSetUpPr fitToPage="1"/>
  </sheetPr>
  <dimension ref="A1:N25"/>
  <sheetViews>
    <sheetView showGridLines="0" workbookViewId="0">
      <selection activeCell="R15" sqref="R15"/>
    </sheetView>
  </sheetViews>
  <sheetFormatPr defaultColWidth="9" defaultRowHeight="14.25"/>
  <cols>
    <col min="1" max="14" width="10.625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2" s="228" customFormat="1" ht="22.5" customHeight="1" spans="1:14">
      <c r="A22" s="9" t="s">
        <v>62</v>
      </c>
      <c r="B22" s="9" t="s">
        <v>60</v>
      </c>
      <c r="C22" s="9" t="s">
        <v>63</v>
      </c>
      <c r="D22" s="9" t="s">
        <v>64</v>
      </c>
      <c r="E22" s="9" t="s">
        <v>65</v>
      </c>
      <c r="F22" s="9" t="s">
        <v>66</v>
      </c>
      <c r="G22" s="9" t="s">
        <v>67</v>
      </c>
      <c r="H22" s="9" t="s">
        <v>68</v>
      </c>
      <c r="I22" s="9" t="s">
        <v>69</v>
      </c>
      <c r="J22" s="9" t="s">
        <v>70</v>
      </c>
      <c r="K22" s="9" t="s">
        <v>71</v>
      </c>
      <c r="L22" s="9" t="s">
        <v>72</v>
      </c>
      <c r="M22" s="9" t="s">
        <v>73</v>
      </c>
      <c r="N22" s="43" t="s">
        <v>28</v>
      </c>
    </row>
    <row r="23" s="228" customFormat="1" ht="22.5" customHeight="1" spans="1:14">
      <c r="A23" s="9" t="s">
        <v>82</v>
      </c>
      <c r="B23" s="229">
        <f>数据表!B12</f>
        <v>600</v>
      </c>
      <c r="C23" s="229">
        <f>数据表!C12</f>
        <v>700</v>
      </c>
      <c r="D23" s="229">
        <f>数据表!D12</f>
        <v>900</v>
      </c>
      <c r="E23" s="229">
        <f>数据表!E12</f>
        <v>1200</v>
      </c>
      <c r="F23" s="229">
        <f>数据表!F12</f>
        <v>900</v>
      </c>
      <c r="G23" s="229">
        <f>数据表!G12</f>
        <v>1300</v>
      </c>
      <c r="H23" s="229">
        <f>数据表!H12</f>
        <v>1400</v>
      </c>
      <c r="I23" s="229">
        <f>数据表!I12</f>
        <v>1500</v>
      </c>
      <c r="J23" s="229">
        <f>数据表!J12</f>
        <v>1800</v>
      </c>
      <c r="K23" s="229">
        <f>数据表!K12</f>
        <v>2000</v>
      </c>
      <c r="L23" s="229">
        <f>数据表!L12</f>
        <v>2300</v>
      </c>
      <c r="M23" s="229">
        <f>数据表!M12</f>
        <v>2300</v>
      </c>
      <c r="N23" s="229">
        <f>SUM(B23:M23)</f>
        <v>16900</v>
      </c>
    </row>
    <row r="24" s="228" customFormat="1" ht="22.5" customHeight="1" spans="1:14">
      <c r="A24" s="9" t="s">
        <v>77</v>
      </c>
      <c r="B24" s="230">
        <f>数据表!B20</f>
        <v>24</v>
      </c>
      <c r="C24" s="230">
        <f>数据表!C20</f>
        <v>25</v>
      </c>
      <c r="D24" s="230">
        <f>数据表!D20</f>
        <v>24</v>
      </c>
      <c r="E24" s="230">
        <f>数据表!E20</f>
        <v>17</v>
      </c>
      <c r="F24" s="230">
        <f>数据表!F20</f>
        <v>21</v>
      </c>
      <c r="G24" s="230">
        <f>数据表!G20</f>
        <v>19</v>
      </c>
      <c r="H24" s="230">
        <f>数据表!H20</f>
        <v>25</v>
      </c>
      <c r="I24" s="230">
        <f>数据表!I20</f>
        <v>28</v>
      </c>
      <c r="J24" s="230">
        <f>数据表!J20</f>
        <v>24</v>
      </c>
      <c r="K24" s="230">
        <f>数据表!K20</f>
        <v>31</v>
      </c>
      <c r="L24" s="230">
        <f>数据表!L20</f>
        <v>31</v>
      </c>
      <c r="M24" s="230">
        <f>数据表!M20</f>
        <v>39</v>
      </c>
      <c r="N24" s="230">
        <f>SUM(B24:M24)</f>
        <v>308</v>
      </c>
    </row>
    <row r="25" s="228" customFormat="1" ht="22.5" customHeight="1" spans="1:14">
      <c r="A25" s="9" t="s">
        <v>78</v>
      </c>
      <c r="B25" s="231">
        <f t="shared" ref="B25:N25" si="0">B24/B23</f>
        <v>0.04</v>
      </c>
      <c r="C25" s="231">
        <f t="shared" si="0"/>
        <v>0.0357142857142857</v>
      </c>
      <c r="D25" s="231">
        <f t="shared" si="0"/>
        <v>0.0266666666666667</v>
      </c>
      <c r="E25" s="231">
        <f t="shared" si="0"/>
        <v>0.0141666666666667</v>
      </c>
      <c r="F25" s="231">
        <f t="shared" si="0"/>
        <v>0.0233333333333333</v>
      </c>
      <c r="G25" s="231">
        <f t="shared" si="0"/>
        <v>0.0146153846153846</v>
      </c>
      <c r="H25" s="231">
        <f t="shared" si="0"/>
        <v>0.0178571428571429</v>
      </c>
      <c r="I25" s="231">
        <f t="shared" si="0"/>
        <v>0.0186666666666667</v>
      </c>
      <c r="J25" s="231">
        <f t="shared" si="0"/>
        <v>0.0133333333333333</v>
      </c>
      <c r="K25" s="231">
        <f t="shared" si="0"/>
        <v>0.0155</v>
      </c>
      <c r="L25" s="231">
        <f t="shared" si="0"/>
        <v>0.0134782608695652</v>
      </c>
      <c r="M25" s="231">
        <f t="shared" si="0"/>
        <v>0.0169565217391304</v>
      </c>
      <c r="N25" s="231">
        <f t="shared" si="0"/>
        <v>0.0182248520710059</v>
      </c>
    </row>
  </sheetData>
  <printOptions horizontalCentered="1"/>
  <pageMargins left="0.314583333333333" right="0.314583333333333" top="0.354166666666667" bottom="0.354166666666667" header="0.314583333333333" footer="0.314583333333333"/>
  <pageSetup paperSize="9" scale="84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7"/>
  <sheetViews>
    <sheetView workbookViewId="0">
      <pane xSplit="1" ySplit="2" topLeftCell="B45" activePane="bottomRight" state="frozen"/>
      <selection/>
      <selection pane="topRight"/>
      <selection pane="bottomLeft"/>
      <selection pane="bottomRight" activeCell="I62" sqref="I62"/>
    </sheetView>
  </sheetViews>
  <sheetFormatPr defaultColWidth="9" defaultRowHeight="14.25"/>
  <cols>
    <col min="1" max="1" width="5.375" style="144" customWidth="1"/>
    <col min="2" max="2" width="3.875" style="144" customWidth="1"/>
    <col min="3" max="3" width="11.375" style="144" customWidth="1"/>
    <col min="4" max="4" width="14" style="144" customWidth="1"/>
    <col min="5" max="5" width="10.375" style="144" customWidth="1"/>
    <col min="6" max="6" width="14.625" style="144" customWidth="1"/>
    <col min="7" max="7" width="13.875" style="145" customWidth="1"/>
    <col min="8" max="8" width="9" style="144"/>
    <col min="9" max="9" width="15.125" style="144" customWidth="1"/>
    <col min="10" max="10" width="9" style="144"/>
    <col min="11" max="12" width="15.125" style="144" customWidth="1"/>
    <col min="13" max="16384" width="9" style="144"/>
  </cols>
  <sheetData>
    <row r="1" ht="27.75" customHeight="1" spans="1:8">
      <c r="A1" s="146" t="s">
        <v>83</v>
      </c>
      <c r="B1" s="146"/>
      <c r="C1" s="146"/>
      <c r="D1" s="146"/>
      <c r="E1" s="146"/>
      <c r="F1" s="146"/>
      <c r="G1" s="146"/>
      <c r="H1" s="146"/>
    </row>
    <row r="2" s="143" customFormat="1" ht="20.25" customHeight="1" spans="1:8">
      <c r="A2" s="147" t="s">
        <v>30</v>
      </c>
      <c r="B2" s="147" t="s">
        <v>31</v>
      </c>
      <c r="C2" s="147" t="s">
        <v>33</v>
      </c>
      <c r="D2" s="147" t="s">
        <v>34</v>
      </c>
      <c r="E2" s="147" t="s">
        <v>35</v>
      </c>
      <c r="F2" s="147" t="s">
        <v>36</v>
      </c>
      <c r="G2" s="149" t="s">
        <v>84</v>
      </c>
      <c r="H2" s="147" t="s">
        <v>10</v>
      </c>
    </row>
    <row r="3" s="143" customFormat="1" ht="15" customHeight="1" spans="1:8">
      <c r="A3" s="147" t="s">
        <v>44</v>
      </c>
      <c r="B3" s="147">
        <v>1</v>
      </c>
      <c r="C3" s="148">
        <v>40663</v>
      </c>
      <c r="D3" s="149">
        <v>106584.66</v>
      </c>
      <c r="E3" s="148">
        <v>40725</v>
      </c>
      <c r="F3" s="149">
        <v>11700</v>
      </c>
      <c r="G3" s="149">
        <f>D3-F3</f>
        <v>94884.66</v>
      </c>
      <c r="H3" s="147"/>
    </row>
    <row r="4" s="143" customFormat="1" ht="15" customHeight="1" spans="1:8">
      <c r="A4" s="147"/>
      <c r="B4" s="147">
        <v>2</v>
      </c>
      <c r="C4" s="148"/>
      <c r="D4" s="149"/>
      <c r="E4" s="148">
        <v>40725</v>
      </c>
      <c r="F4" s="149">
        <v>94884.66</v>
      </c>
      <c r="G4" s="149">
        <f>G3+D4-F4</f>
        <v>0</v>
      </c>
      <c r="H4" s="147"/>
    </row>
    <row r="5" s="143" customFormat="1" ht="15" customHeight="1" spans="1:8">
      <c r="A5" s="147"/>
      <c r="B5" s="147">
        <v>3</v>
      </c>
      <c r="C5" s="148">
        <v>40693</v>
      </c>
      <c r="D5" s="149">
        <v>243602.19</v>
      </c>
      <c r="E5" s="148">
        <v>40773</v>
      </c>
      <c r="F5" s="149">
        <v>243602.19</v>
      </c>
      <c r="G5" s="149">
        <f t="shared" ref="G5:G28" si="0">G4+D5-F5</f>
        <v>0</v>
      </c>
      <c r="H5" s="147"/>
    </row>
    <row r="6" s="143" customFormat="1" ht="15" customHeight="1" spans="1:8">
      <c r="A6" s="147"/>
      <c r="B6" s="147">
        <v>4</v>
      </c>
      <c r="C6" s="148">
        <v>40724</v>
      </c>
      <c r="D6" s="149">
        <v>228708.48</v>
      </c>
      <c r="E6" s="148">
        <v>40801</v>
      </c>
      <c r="F6" s="149">
        <v>228708.48</v>
      </c>
      <c r="G6" s="149">
        <f t="shared" si="0"/>
        <v>0</v>
      </c>
      <c r="H6" s="147"/>
    </row>
    <row r="7" s="143" customFormat="1" ht="15" customHeight="1" spans="1:8">
      <c r="A7" s="147"/>
      <c r="B7" s="147">
        <v>5</v>
      </c>
      <c r="C7" s="148">
        <v>40754</v>
      </c>
      <c r="D7" s="149">
        <v>99017.1</v>
      </c>
      <c r="E7" s="148">
        <v>40876</v>
      </c>
      <c r="F7" s="149">
        <v>99017.1</v>
      </c>
      <c r="G7" s="149">
        <f t="shared" si="0"/>
        <v>0</v>
      </c>
      <c r="H7" s="147"/>
    </row>
    <row r="8" s="143" customFormat="1" ht="15" customHeight="1" spans="1:8">
      <c r="A8" s="147"/>
      <c r="B8" s="147">
        <v>6</v>
      </c>
      <c r="C8" s="148">
        <v>40815</v>
      </c>
      <c r="D8" s="189">
        <v>285190.43</v>
      </c>
      <c r="E8" s="148">
        <v>40898</v>
      </c>
      <c r="F8" s="189">
        <v>285190.43</v>
      </c>
      <c r="G8" s="149">
        <f t="shared" si="0"/>
        <v>0</v>
      </c>
      <c r="H8" s="147"/>
    </row>
    <row r="9" s="143" customFormat="1" ht="15" customHeight="1" spans="1:8">
      <c r="A9" s="147"/>
      <c r="B9" s="147">
        <v>7</v>
      </c>
      <c r="C9" s="148">
        <v>40856</v>
      </c>
      <c r="D9" s="149">
        <v>158024.88</v>
      </c>
      <c r="E9" s="148"/>
      <c r="F9" s="149"/>
      <c r="G9" s="149">
        <f t="shared" si="0"/>
        <v>158024.88</v>
      </c>
      <c r="H9" s="147"/>
    </row>
    <row r="10" s="143" customFormat="1" ht="15" customHeight="1" spans="1:8">
      <c r="A10" s="147"/>
      <c r="B10" s="147">
        <v>8</v>
      </c>
      <c r="C10" s="148">
        <v>40876</v>
      </c>
      <c r="D10" s="149">
        <v>165746.88</v>
      </c>
      <c r="E10" s="148"/>
      <c r="F10" s="149"/>
      <c r="G10" s="149">
        <f t="shared" si="0"/>
        <v>323771.76</v>
      </c>
      <c r="H10" s="147"/>
    </row>
    <row r="11" s="143" customFormat="1" ht="15" customHeight="1" spans="1:8">
      <c r="A11" s="147"/>
      <c r="B11" s="147">
        <v>9</v>
      </c>
      <c r="C11" s="148">
        <v>40903</v>
      </c>
      <c r="D11" s="149">
        <v>201408.48</v>
      </c>
      <c r="E11" s="148"/>
      <c r="F11" s="149"/>
      <c r="G11" s="149">
        <f t="shared" si="0"/>
        <v>525180.24</v>
      </c>
      <c r="H11" s="147"/>
    </row>
    <row r="12" s="143" customFormat="1" ht="15" customHeight="1" spans="1:8">
      <c r="A12" s="147"/>
      <c r="B12" s="147">
        <v>10</v>
      </c>
      <c r="C12" s="148"/>
      <c r="D12" s="149"/>
      <c r="E12" s="148"/>
      <c r="F12" s="149"/>
      <c r="G12" s="149">
        <f t="shared" si="0"/>
        <v>525180.24</v>
      </c>
      <c r="H12" s="147"/>
    </row>
    <row r="13" s="143" customFormat="1" ht="15" customHeight="1" spans="1:8">
      <c r="A13" s="147"/>
      <c r="B13" s="147">
        <v>11</v>
      </c>
      <c r="C13" s="148"/>
      <c r="D13" s="149"/>
      <c r="E13" s="148"/>
      <c r="F13" s="149"/>
      <c r="G13" s="149">
        <f t="shared" si="0"/>
        <v>525180.24</v>
      </c>
      <c r="H13" s="147"/>
    </row>
    <row r="14" s="143" customFormat="1" ht="15" customHeight="1" spans="1:8">
      <c r="A14" s="147"/>
      <c r="B14" s="147">
        <v>12</v>
      </c>
      <c r="C14" s="148"/>
      <c r="D14" s="149"/>
      <c r="E14" s="148"/>
      <c r="F14" s="149"/>
      <c r="G14" s="149">
        <f t="shared" si="0"/>
        <v>525180.24</v>
      </c>
      <c r="H14" s="147"/>
    </row>
    <row r="15" s="143" customFormat="1" ht="15" customHeight="1" spans="1:8">
      <c r="A15" s="147"/>
      <c r="B15" s="147">
        <v>13</v>
      </c>
      <c r="C15" s="148"/>
      <c r="D15" s="149"/>
      <c r="E15" s="148"/>
      <c r="F15" s="149"/>
      <c r="G15" s="149">
        <f t="shared" si="0"/>
        <v>525180.24</v>
      </c>
      <c r="H15" s="147"/>
    </row>
    <row r="16" s="143" customFormat="1" ht="15" customHeight="1" spans="1:8">
      <c r="A16" s="147"/>
      <c r="B16" s="147">
        <v>14</v>
      </c>
      <c r="C16" s="148"/>
      <c r="D16" s="149"/>
      <c r="E16" s="148"/>
      <c r="F16" s="149"/>
      <c r="G16" s="149">
        <f t="shared" si="0"/>
        <v>525180.24</v>
      </c>
      <c r="H16" s="147"/>
    </row>
    <row r="17" s="143" customFormat="1" ht="15" hidden="1" customHeight="1" spans="1:8">
      <c r="A17" s="147"/>
      <c r="B17" s="147">
        <v>15</v>
      </c>
      <c r="C17" s="148"/>
      <c r="D17" s="149"/>
      <c r="E17" s="148"/>
      <c r="F17" s="149"/>
      <c r="G17" s="149">
        <f t="shared" si="0"/>
        <v>525180.24</v>
      </c>
      <c r="H17" s="147"/>
    </row>
    <row r="18" s="143" customFormat="1" ht="15" hidden="1" customHeight="1" spans="1:8">
      <c r="A18" s="147"/>
      <c r="B18" s="147">
        <v>16</v>
      </c>
      <c r="C18" s="148"/>
      <c r="D18" s="149"/>
      <c r="E18" s="148"/>
      <c r="F18" s="149"/>
      <c r="G18" s="149">
        <f t="shared" si="0"/>
        <v>525180.24</v>
      </c>
      <c r="H18" s="147"/>
    </row>
    <row r="19" s="143" customFormat="1" ht="15" hidden="1" customHeight="1" spans="1:8">
      <c r="A19" s="147"/>
      <c r="B19" s="147">
        <v>17</v>
      </c>
      <c r="C19" s="148"/>
      <c r="D19" s="149"/>
      <c r="E19" s="148"/>
      <c r="F19" s="149"/>
      <c r="G19" s="149">
        <f t="shared" si="0"/>
        <v>525180.24</v>
      </c>
      <c r="H19" s="147"/>
    </row>
    <row r="20" s="143" customFormat="1" ht="15" hidden="1" customHeight="1" spans="1:8">
      <c r="A20" s="147"/>
      <c r="B20" s="147">
        <v>18</v>
      </c>
      <c r="C20" s="148"/>
      <c r="D20" s="149"/>
      <c r="E20" s="147"/>
      <c r="F20" s="149"/>
      <c r="G20" s="149">
        <f t="shared" si="0"/>
        <v>525180.24</v>
      </c>
      <c r="H20" s="147"/>
    </row>
    <row r="21" s="143" customFormat="1" ht="15" hidden="1" customHeight="1" spans="1:8">
      <c r="A21" s="147"/>
      <c r="B21" s="147">
        <v>19</v>
      </c>
      <c r="C21" s="148"/>
      <c r="D21" s="149"/>
      <c r="E21" s="147"/>
      <c r="F21" s="149"/>
      <c r="G21" s="149">
        <f t="shared" si="0"/>
        <v>525180.24</v>
      </c>
      <c r="H21" s="147"/>
    </row>
    <row r="22" s="143" customFormat="1" ht="15" hidden="1" customHeight="1" spans="1:8">
      <c r="A22" s="147"/>
      <c r="B22" s="147">
        <v>20</v>
      </c>
      <c r="C22" s="148"/>
      <c r="D22" s="149"/>
      <c r="E22" s="147"/>
      <c r="F22" s="149"/>
      <c r="G22" s="149">
        <f t="shared" si="0"/>
        <v>525180.24</v>
      </c>
      <c r="H22" s="147"/>
    </row>
    <row r="23" s="143" customFormat="1" ht="15" hidden="1" customHeight="1" spans="1:8">
      <c r="A23" s="147"/>
      <c r="B23" s="147">
        <v>21</v>
      </c>
      <c r="C23" s="148"/>
      <c r="D23" s="149"/>
      <c r="E23" s="147"/>
      <c r="F23" s="149"/>
      <c r="G23" s="149">
        <f t="shared" si="0"/>
        <v>525180.24</v>
      </c>
      <c r="H23" s="147"/>
    </row>
    <row r="24" s="143" customFormat="1" ht="15" hidden="1" customHeight="1" spans="1:8">
      <c r="A24" s="147"/>
      <c r="B24" s="147">
        <v>22</v>
      </c>
      <c r="C24" s="148"/>
      <c r="D24" s="149"/>
      <c r="E24" s="148"/>
      <c r="F24" s="149"/>
      <c r="G24" s="149">
        <f t="shared" si="0"/>
        <v>525180.24</v>
      </c>
      <c r="H24" s="147"/>
    </row>
    <row r="25" s="143" customFormat="1" ht="15" hidden="1" customHeight="1" spans="1:8">
      <c r="A25" s="147"/>
      <c r="B25" s="147">
        <v>23</v>
      </c>
      <c r="C25" s="148"/>
      <c r="D25" s="149"/>
      <c r="E25" s="148"/>
      <c r="F25" s="149"/>
      <c r="G25" s="149">
        <f t="shared" si="0"/>
        <v>525180.24</v>
      </c>
      <c r="H25" s="147"/>
    </row>
    <row r="26" s="143" customFormat="1" ht="15" hidden="1" customHeight="1" spans="1:8">
      <c r="A26" s="147"/>
      <c r="B26" s="147">
        <v>24</v>
      </c>
      <c r="C26" s="148"/>
      <c r="D26" s="149"/>
      <c r="E26" s="147"/>
      <c r="F26" s="149"/>
      <c r="G26" s="149">
        <f t="shared" si="0"/>
        <v>525180.24</v>
      </c>
      <c r="H26" s="147"/>
    </row>
    <row r="27" s="143" customFormat="1" ht="15" hidden="1" customHeight="1" spans="1:8">
      <c r="A27" s="147"/>
      <c r="B27" s="147">
        <v>25</v>
      </c>
      <c r="C27" s="148"/>
      <c r="D27" s="149"/>
      <c r="E27" s="147"/>
      <c r="F27" s="149"/>
      <c r="G27" s="149">
        <f t="shared" si="0"/>
        <v>525180.24</v>
      </c>
      <c r="H27" s="147"/>
    </row>
    <row r="28" s="143" customFormat="1" ht="15" hidden="1" customHeight="1" spans="1:8">
      <c r="A28" s="147"/>
      <c r="B28" s="147">
        <v>26</v>
      </c>
      <c r="C28" s="148"/>
      <c r="D28" s="149"/>
      <c r="E28" s="147"/>
      <c r="F28" s="149"/>
      <c r="G28" s="149">
        <f t="shared" si="0"/>
        <v>525180.24</v>
      </c>
      <c r="H28" s="147"/>
    </row>
    <row r="29" s="143" customFormat="1" ht="25.5" customHeight="1" spans="1:8">
      <c r="A29" s="147" t="s">
        <v>85</v>
      </c>
      <c r="B29" s="147"/>
      <c r="C29" s="147"/>
      <c r="D29" s="149">
        <f>SUM(D3:D28)</f>
        <v>1488283.1</v>
      </c>
      <c r="E29" s="147"/>
      <c r="F29" s="149">
        <f>SUM(F3:F28)</f>
        <v>963102.86</v>
      </c>
      <c r="G29" s="149">
        <f>D29-F29</f>
        <v>525180.24</v>
      </c>
      <c r="H29" s="147"/>
    </row>
    <row r="30" s="143" customFormat="1" ht="25.5" customHeight="1" spans="1:8">
      <c r="A30" s="156" t="s">
        <v>46</v>
      </c>
      <c r="B30" s="147">
        <v>1</v>
      </c>
      <c r="C30" s="148"/>
      <c r="D30" s="149"/>
      <c r="E30" s="148">
        <v>40925</v>
      </c>
      <c r="F30" s="149">
        <v>158024.88</v>
      </c>
      <c r="G30" s="149">
        <f>G29+D30-F30</f>
        <v>367155.36</v>
      </c>
      <c r="H30" s="147"/>
    </row>
    <row r="31" s="143" customFormat="1" ht="25.5" customHeight="1" spans="1:11">
      <c r="A31" s="158"/>
      <c r="B31" s="147">
        <v>2</v>
      </c>
      <c r="C31" s="148">
        <v>40952</v>
      </c>
      <c r="D31" s="149">
        <v>158249.52</v>
      </c>
      <c r="E31" s="148">
        <v>40982</v>
      </c>
      <c r="F31" s="149">
        <v>367155.36</v>
      </c>
      <c r="G31" s="149">
        <f t="shared" ref="G31:G39" si="1">G30+D31-F31</f>
        <v>158249.52</v>
      </c>
      <c r="H31" s="147"/>
      <c r="K31" s="152">
        <f>D31/1.17</f>
        <v>135256</v>
      </c>
    </row>
    <row r="32" s="143" customFormat="1" ht="25.5" customHeight="1" spans="1:11">
      <c r="A32" s="158"/>
      <c r="B32" s="147">
        <v>3</v>
      </c>
      <c r="C32" s="148">
        <v>40999</v>
      </c>
      <c r="D32" s="149">
        <v>313349.4</v>
      </c>
      <c r="E32" s="148">
        <v>41024</v>
      </c>
      <c r="F32" s="149">
        <v>158249.52</v>
      </c>
      <c r="G32" s="149">
        <f t="shared" si="1"/>
        <v>313349.4</v>
      </c>
      <c r="H32" s="147"/>
      <c r="K32" s="152">
        <f t="shared" ref="K32:K38" si="2">D32/1.17</f>
        <v>267820</v>
      </c>
    </row>
    <row r="33" s="143" customFormat="1" ht="25.5" customHeight="1" spans="1:11">
      <c r="A33" s="158"/>
      <c r="B33" s="147">
        <v>4</v>
      </c>
      <c r="C33" s="148">
        <v>41115</v>
      </c>
      <c r="D33" s="149">
        <v>198853.2</v>
      </c>
      <c r="E33" s="148">
        <v>41057</v>
      </c>
      <c r="F33" s="149">
        <v>313349.4</v>
      </c>
      <c r="G33" s="149">
        <f t="shared" si="1"/>
        <v>198853.2</v>
      </c>
      <c r="H33" s="147"/>
      <c r="K33" s="152">
        <f t="shared" si="2"/>
        <v>169960</v>
      </c>
    </row>
    <row r="34" s="143" customFormat="1" ht="25.5" customHeight="1" spans="1:11">
      <c r="A34" s="158"/>
      <c r="B34" s="147">
        <v>5</v>
      </c>
      <c r="C34" s="148">
        <v>41151</v>
      </c>
      <c r="D34" s="149">
        <v>178991.28</v>
      </c>
      <c r="E34" s="148">
        <v>41157</v>
      </c>
      <c r="F34" s="149">
        <v>198853.2</v>
      </c>
      <c r="G34" s="149">
        <f t="shared" si="1"/>
        <v>178991.28</v>
      </c>
      <c r="H34" s="147"/>
      <c r="K34" s="152">
        <f t="shared" si="2"/>
        <v>152984</v>
      </c>
    </row>
    <row r="35" s="143" customFormat="1" ht="25.5" customHeight="1" spans="1:11">
      <c r="A35" s="158"/>
      <c r="B35" s="147">
        <v>6</v>
      </c>
      <c r="C35" s="148">
        <v>41173</v>
      </c>
      <c r="D35" s="149">
        <v>111175.16</v>
      </c>
      <c r="E35" s="148">
        <v>41172</v>
      </c>
      <c r="F35" s="149">
        <v>178991.28</v>
      </c>
      <c r="G35" s="149">
        <f t="shared" si="1"/>
        <v>111175.16</v>
      </c>
      <c r="H35" s="147"/>
      <c r="K35" s="152">
        <f t="shared" si="2"/>
        <v>95021.5042735043</v>
      </c>
    </row>
    <row r="36" s="143" customFormat="1" ht="25.5" customHeight="1" spans="1:11">
      <c r="A36" s="158"/>
      <c r="B36" s="147">
        <v>7</v>
      </c>
      <c r="C36" s="148">
        <v>41208</v>
      </c>
      <c r="D36" s="149">
        <v>243841.46</v>
      </c>
      <c r="E36" s="148">
        <v>41206</v>
      </c>
      <c r="F36" s="149">
        <v>111175.16</v>
      </c>
      <c r="G36" s="149">
        <f t="shared" si="1"/>
        <v>243841.46</v>
      </c>
      <c r="H36" s="147"/>
      <c r="K36" s="152">
        <f t="shared" si="2"/>
        <v>208411.504273504</v>
      </c>
    </row>
    <row r="37" s="143" customFormat="1" ht="25.5" customHeight="1" spans="1:11">
      <c r="A37" s="158"/>
      <c r="B37" s="147">
        <v>8</v>
      </c>
      <c r="C37" s="148">
        <v>41239</v>
      </c>
      <c r="D37" s="149">
        <v>252593.64</v>
      </c>
      <c r="E37" s="148">
        <v>41240</v>
      </c>
      <c r="F37" s="149">
        <v>243841.46</v>
      </c>
      <c r="G37" s="149">
        <f t="shared" si="1"/>
        <v>252593.64</v>
      </c>
      <c r="H37" s="147"/>
      <c r="K37" s="152">
        <f t="shared" si="2"/>
        <v>215892</v>
      </c>
    </row>
    <row r="38" s="143" customFormat="1" ht="25.5" customHeight="1" spans="1:11">
      <c r="A38" s="158"/>
      <c r="B38" s="147">
        <v>9</v>
      </c>
      <c r="C38" s="148">
        <v>41271</v>
      </c>
      <c r="D38" s="149">
        <v>290934.54</v>
      </c>
      <c r="E38" s="148">
        <v>41262</v>
      </c>
      <c r="F38" s="149">
        <v>252593.64</v>
      </c>
      <c r="G38" s="149">
        <f t="shared" si="1"/>
        <v>290934.54</v>
      </c>
      <c r="H38" s="147"/>
      <c r="K38" s="152">
        <f t="shared" si="2"/>
        <v>248662</v>
      </c>
    </row>
    <row r="39" s="143" customFormat="1" ht="25.5" customHeight="1" spans="1:8">
      <c r="A39" s="158"/>
      <c r="B39" s="147">
        <v>10</v>
      </c>
      <c r="C39" s="148"/>
      <c r="D39" s="149"/>
      <c r="E39" s="148"/>
      <c r="F39" s="149"/>
      <c r="G39" s="149">
        <f t="shared" si="1"/>
        <v>290934.54</v>
      </c>
      <c r="H39" s="147"/>
    </row>
    <row r="40" s="143" customFormat="1" ht="25.5" customHeight="1" spans="1:8">
      <c r="A40" s="147" t="s">
        <v>85</v>
      </c>
      <c r="B40" s="147"/>
      <c r="C40" s="147"/>
      <c r="D40" s="149">
        <f>SUM(D30:D39)</f>
        <v>1747988.2</v>
      </c>
      <c r="E40" s="148"/>
      <c r="F40" s="149">
        <f>SUM(F30:F39)</f>
        <v>1982233.9</v>
      </c>
      <c r="G40" s="219">
        <f>G29+D40-F40</f>
        <v>290934.54</v>
      </c>
      <c r="H40" s="147"/>
    </row>
    <row r="41" s="143" customFormat="1" ht="24.95" customHeight="1" spans="1:8">
      <c r="A41" s="156" t="s">
        <v>52</v>
      </c>
      <c r="B41" s="147">
        <v>1</v>
      </c>
      <c r="C41" s="148">
        <v>41300</v>
      </c>
      <c r="D41" s="149">
        <v>241113.02</v>
      </c>
      <c r="E41" s="148">
        <v>41305</v>
      </c>
      <c r="F41" s="149">
        <v>290934.54</v>
      </c>
      <c r="G41" s="149">
        <f>G40+D41-F41</f>
        <v>241113.02</v>
      </c>
      <c r="H41" s="147"/>
    </row>
    <row r="42" s="143" customFormat="1" ht="24.95" customHeight="1" spans="1:8">
      <c r="A42" s="158"/>
      <c r="B42" s="147">
        <v>2</v>
      </c>
      <c r="C42" s="148">
        <v>41330</v>
      </c>
      <c r="D42" s="149">
        <v>306839.52</v>
      </c>
      <c r="E42" s="148">
        <v>41364</v>
      </c>
      <c r="F42" s="149">
        <v>241113.02</v>
      </c>
      <c r="G42" s="149">
        <f t="shared" ref="G42:G50" si="3">G41+D42-F42</f>
        <v>306839.52</v>
      </c>
      <c r="H42" s="147"/>
    </row>
    <row r="43" s="143" customFormat="1" ht="24.95" customHeight="1" spans="1:8">
      <c r="A43" s="158"/>
      <c r="B43" s="147">
        <v>3</v>
      </c>
      <c r="C43" s="148">
        <v>41358</v>
      </c>
      <c r="D43" s="149">
        <v>124127.64</v>
      </c>
      <c r="E43" s="148">
        <v>41398</v>
      </c>
      <c r="F43" s="149">
        <v>306839.52</v>
      </c>
      <c r="G43" s="149">
        <f t="shared" si="3"/>
        <v>124127.64</v>
      </c>
      <c r="H43" s="147"/>
    </row>
    <row r="44" s="143" customFormat="1" ht="24.95" customHeight="1" spans="1:8">
      <c r="A44" s="158"/>
      <c r="B44" s="147">
        <v>4</v>
      </c>
      <c r="C44" s="148">
        <v>41390</v>
      </c>
      <c r="D44" s="165">
        <v>306291.38</v>
      </c>
      <c r="E44" s="180">
        <v>41422</v>
      </c>
      <c r="F44" s="165">
        <v>124127.64</v>
      </c>
      <c r="G44" s="149">
        <f t="shared" si="3"/>
        <v>306291.38</v>
      </c>
      <c r="H44" s="147"/>
    </row>
    <row r="45" ht="24.95" customHeight="1" spans="1:8">
      <c r="A45" s="158"/>
      <c r="B45" s="147">
        <v>5</v>
      </c>
      <c r="C45" s="148">
        <v>41421</v>
      </c>
      <c r="D45" s="165">
        <v>282006.86</v>
      </c>
      <c r="E45" s="180">
        <v>41457</v>
      </c>
      <c r="F45" s="165">
        <v>588298.24</v>
      </c>
      <c r="G45" s="149">
        <f t="shared" si="3"/>
        <v>0</v>
      </c>
      <c r="H45" s="147"/>
    </row>
    <row r="46" ht="24.95" customHeight="1" spans="1:8">
      <c r="A46" s="158"/>
      <c r="B46" s="147">
        <v>6</v>
      </c>
      <c r="C46" s="148">
        <v>41450</v>
      </c>
      <c r="D46" s="165">
        <v>217837.62</v>
      </c>
      <c r="E46" s="180"/>
      <c r="F46" s="165"/>
      <c r="G46" s="149">
        <f t="shared" si="3"/>
        <v>217837.62</v>
      </c>
      <c r="H46" s="147"/>
    </row>
    <row r="47" ht="24.95" customHeight="1" spans="1:8">
      <c r="A47" s="158"/>
      <c r="B47" s="147">
        <v>7</v>
      </c>
      <c r="C47" s="148">
        <v>41480</v>
      </c>
      <c r="D47" s="149">
        <v>64738.44</v>
      </c>
      <c r="E47" s="148">
        <v>41547</v>
      </c>
      <c r="F47" s="165">
        <v>282576.06</v>
      </c>
      <c r="G47" s="149">
        <f t="shared" si="3"/>
        <v>0</v>
      </c>
      <c r="H47" s="147"/>
    </row>
    <row r="48" ht="24.95" customHeight="1" spans="1:8">
      <c r="A48" s="158"/>
      <c r="B48" s="147">
        <v>8</v>
      </c>
      <c r="C48" s="148">
        <v>41544</v>
      </c>
      <c r="D48" s="149">
        <v>64359.95</v>
      </c>
      <c r="E48" s="148">
        <v>41603</v>
      </c>
      <c r="F48" s="149">
        <v>64359.95</v>
      </c>
      <c r="G48" s="149">
        <f t="shared" si="3"/>
        <v>0</v>
      </c>
      <c r="H48" s="147"/>
    </row>
    <row r="49" ht="24.95" customHeight="1" spans="1:8">
      <c r="A49" s="158"/>
      <c r="B49" s="147">
        <v>9</v>
      </c>
      <c r="C49" s="148">
        <v>41572</v>
      </c>
      <c r="D49" s="149">
        <v>208601.64</v>
      </c>
      <c r="E49" s="148">
        <v>41633</v>
      </c>
      <c r="F49" s="149">
        <v>208601.64</v>
      </c>
      <c r="G49" s="149">
        <f t="shared" si="3"/>
        <v>0</v>
      </c>
      <c r="H49" s="147"/>
    </row>
    <row r="50" ht="24.95" customHeight="1" spans="1:8">
      <c r="A50" s="158"/>
      <c r="B50" s="147">
        <v>10</v>
      </c>
      <c r="C50" s="148"/>
      <c r="D50" s="149"/>
      <c r="E50" s="148"/>
      <c r="F50" s="149"/>
      <c r="G50" s="149">
        <f t="shared" si="3"/>
        <v>0</v>
      </c>
      <c r="H50" s="147"/>
    </row>
    <row r="51" ht="24.95" customHeight="1" spans="1:8">
      <c r="A51" s="147" t="s">
        <v>85</v>
      </c>
      <c r="B51" s="147"/>
      <c r="C51" s="147"/>
      <c r="D51" s="149">
        <f>SUM(D41:D50)</f>
        <v>1815916.07</v>
      </c>
      <c r="E51" s="148"/>
      <c r="F51" s="149">
        <f>SUM(F41:F50)</f>
        <v>2106850.61</v>
      </c>
      <c r="G51" s="219">
        <f>G40+D51-F51</f>
        <v>0</v>
      </c>
      <c r="H51" s="147"/>
    </row>
    <row r="52" ht="24.95" customHeight="1" spans="1:8">
      <c r="A52" s="156" t="s">
        <v>55</v>
      </c>
      <c r="B52" s="147">
        <v>1</v>
      </c>
      <c r="C52" s="148">
        <v>41664</v>
      </c>
      <c r="D52" s="149">
        <v>123940</v>
      </c>
      <c r="E52" s="148">
        <v>41737</v>
      </c>
      <c r="F52" s="149">
        <v>123940</v>
      </c>
      <c r="G52" s="149">
        <f>G51+D52-F52</f>
        <v>0</v>
      </c>
      <c r="H52" s="147"/>
    </row>
    <row r="53" ht="21.75" customHeight="1" spans="1:8">
      <c r="A53" s="158"/>
      <c r="B53" s="147">
        <v>2</v>
      </c>
      <c r="C53" s="148">
        <v>41697</v>
      </c>
      <c r="D53" s="149">
        <v>104580</v>
      </c>
      <c r="E53" s="148"/>
      <c r="F53" s="149"/>
      <c r="G53" s="149">
        <f t="shared" ref="G53:G61" si="4">G52+D53-F53</f>
        <v>104580</v>
      </c>
      <c r="H53" s="147"/>
    </row>
    <row r="54" spans="1:8">
      <c r="A54" s="158"/>
      <c r="B54" s="147">
        <v>3</v>
      </c>
      <c r="C54" s="148">
        <v>41719</v>
      </c>
      <c r="D54" s="149">
        <v>76000</v>
      </c>
      <c r="E54" s="148">
        <v>41789</v>
      </c>
      <c r="F54" s="149">
        <v>180580</v>
      </c>
      <c r="G54" s="149">
        <f t="shared" si="4"/>
        <v>0</v>
      </c>
      <c r="H54" s="147"/>
    </row>
    <row r="55" spans="1:8">
      <c r="A55" s="158"/>
      <c r="B55" s="147">
        <v>4</v>
      </c>
      <c r="C55" s="148"/>
      <c r="D55" s="165"/>
      <c r="E55" s="180"/>
      <c r="F55" s="165"/>
      <c r="G55" s="149">
        <f t="shared" si="4"/>
        <v>0</v>
      </c>
      <c r="H55" s="147"/>
    </row>
    <row r="56" spans="1:8">
      <c r="A56" s="158"/>
      <c r="B56" s="147">
        <v>5</v>
      </c>
      <c r="C56" s="148"/>
      <c r="D56" s="165"/>
      <c r="E56" s="180"/>
      <c r="F56" s="165"/>
      <c r="G56" s="149">
        <f t="shared" si="4"/>
        <v>0</v>
      </c>
      <c r="H56" s="147"/>
    </row>
    <row r="57" spans="1:8">
      <c r="A57" s="158"/>
      <c r="B57" s="147">
        <v>6</v>
      </c>
      <c r="C57" s="148"/>
      <c r="D57" s="165"/>
      <c r="E57" s="180"/>
      <c r="F57" s="165"/>
      <c r="G57" s="149">
        <f t="shared" si="4"/>
        <v>0</v>
      </c>
      <c r="H57" s="147"/>
    </row>
    <row r="58" spans="1:8">
      <c r="A58" s="158"/>
      <c r="B58" s="147">
        <v>7</v>
      </c>
      <c r="C58" s="148"/>
      <c r="D58" s="149"/>
      <c r="E58" s="148"/>
      <c r="F58" s="149"/>
      <c r="G58" s="149">
        <f t="shared" si="4"/>
        <v>0</v>
      </c>
      <c r="H58" s="147"/>
    </row>
    <row r="59" spans="1:8">
      <c r="A59" s="158"/>
      <c r="B59" s="147">
        <v>8</v>
      </c>
      <c r="C59" s="148"/>
      <c r="D59" s="149"/>
      <c r="E59" s="148"/>
      <c r="F59" s="149"/>
      <c r="G59" s="149">
        <f t="shared" si="4"/>
        <v>0</v>
      </c>
      <c r="H59" s="147"/>
    </row>
    <row r="60" spans="1:8">
      <c r="A60" s="158"/>
      <c r="B60" s="147">
        <v>9</v>
      </c>
      <c r="C60" s="148"/>
      <c r="D60" s="149"/>
      <c r="E60" s="148"/>
      <c r="F60" s="149"/>
      <c r="G60" s="149">
        <f t="shared" si="4"/>
        <v>0</v>
      </c>
      <c r="H60" s="147"/>
    </row>
    <row r="61" spans="1:8">
      <c r="A61" s="158"/>
      <c r="B61" s="147">
        <v>10</v>
      </c>
      <c r="C61" s="148"/>
      <c r="D61" s="149"/>
      <c r="E61" s="148"/>
      <c r="F61" s="149"/>
      <c r="G61" s="149">
        <f t="shared" si="4"/>
        <v>0</v>
      </c>
      <c r="H61" s="147"/>
    </row>
    <row r="62" spans="1:8">
      <c r="A62" s="147" t="s">
        <v>85</v>
      </c>
      <c r="B62" s="147"/>
      <c r="C62" s="147"/>
      <c r="D62" s="149">
        <f>SUM(D52:D61)</f>
        <v>304520</v>
      </c>
      <c r="E62" s="148"/>
      <c r="F62" s="149">
        <f>SUM(F52:F61)</f>
        <v>304520</v>
      </c>
      <c r="G62" s="219">
        <f>G51+D62-F62</f>
        <v>0</v>
      </c>
      <c r="H62" s="147"/>
    </row>
    <row r="63" spans="1:8">
      <c r="A63" s="220" t="s">
        <v>56</v>
      </c>
      <c r="B63" s="221"/>
      <c r="C63" s="222"/>
      <c r="D63" s="223">
        <f>D29+D40+D51+D62</f>
        <v>5356707.37</v>
      </c>
      <c r="E63" s="133"/>
      <c r="F63" s="223">
        <f>F29+F40+F51+F62</f>
        <v>5356707.37</v>
      </c>
      <c r="G63" s="219">
        <f>D63-F63</f>
        <v>0</v>
      </c>
      <c r="H63" s="133"/>
    </row>
    <row r="64" spans="1:8">
      <c r="A64" s="224"/>
      <c r="B64" s="225"/>
      <c r="C64" s="225"/>
      <c r="D64" s="226"/>
      <c r="E64" s="225"/>
      <c r="F64" s="226"/>
      <c r="G64" s="226"/>
      <c r="H64" s="225"/>
    </row>
    <row r="65" spans="1:8">
      <c r="A65" s="224"/>
      <c r="B65" s="225"/>
      <c r="C65" s="225"/>
      <c r="D65" s="226"/>
      <c r="E65" s="225"/>
      <c r="F65" s="226"/>
      <c r="G65" s="226"/>
      <c r="H65" s="225"/>
    </row>
    <row r="66" spans="1:8">
      <c r="A66" s="224"/>
      <c r="B66" s="225"/>
      <c r="C66" s="225"/>
      <c r="D66" s="226"/>
      <c r="E66" s="225"/>
      <c r="F66" s="226"/>
      <c r="G66" s="226"/>
      <c r="H66" s="225"/>
    </row>
    <row r="67" spans="1:1">
      <c r="A67" s="224"/>
    </row>
    <row r="68" spans="1:1">
      <c r="A68" s="224"/>
    </row>
    <row r="69" spans="1:1">
      <c r="A69" s="224"/>
    </row>
    <row r="70" spans="1:1">
      <c r="A70" s="224"/>
    </row>
    <row r="71" spans="1:6">
      <c r="A71" s="224"/>
      <c r="F71" s="144" t="s">
        <v>86</v>
      </c>
    </row>
    <row r="72" spans="1:7">
      <c r="A72" s="224"/>
      <c r="F72" s="167"/>
      <c r="G72" s="168"/>
    </row>
    <row r="73" spans="1:1">
      <c r="A73" s="224"/>
    </row>
    <row r="74" spans="1:1">
      <c r="A74" s="224"/>
    </row>
    <row r="75" spans="1:1">
      <c r="A75" s="224"/>
    </row>
    <row r="76" spans="1:1">
      <c r="A76" s="224"/>
    </row>
    <row r="77" spans="1:1">
      <c r="A77" s="227"/>
    </row>
  </sheetData>
  <mergeCells count="11">
    <mergeCell ref="A1:H1"/>
    <mergeCell ref="A29:B29"/>
    <mergeCell ref="A40:B40"/>
    <mergeCell ref="A51:B51"/>
    <mergeCell ref="A62:B62"/>
    <mergeCell ref="A63:B63"/>
    <mergeCell ref="F72:G72"/>
    <mergeCell ref="A3:A28"/>
    <mergeCell ref="A30:A39"/>
    <mergeCell ref="A41:A50"/>
    <mergeCell ref="A52:A61"/>
  </mergeCells>
  <pageMargins left="0.269444444444444" right="0.259722222222222" top="0.259722222222222" bottom="0.189583333333333" header="0.169444444444444" footer="0.169444444444444"/>
  <pageSetup paperSize="9" scale="98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5"/>
  <sheetViews>
    <sheetView topLeftCell="A16" workbookViewId="0">
      <selection activeCell="F33" sqref="F33"/>
    </sheetView>
  </sheetViews>
  <sheetFormatPr defaultColWidth="9" defaultRowHeight="14.25"/>
  <cols>
    <col min="3" max="3" width="13.5" customWidth="1"/>
    <col min="4" max="4" width="10.25" customWidth="1"/>
    <col min="5" max="5" width="12" customWidth="1"/>
    <col min="6" max="6" width="10.25" customWidth="1"/>
    <col min="7" max="7" width="11.875" customWidth="1"/>
    <col min="8" max="8" width="13.125" customWidth="1"/>
  </cols>
  <sheetData>
    <row r="1" s="144" customFormat="1" ht="27.75" customHeight="1" spans="1:9">
      <c r="A1" s="146" t="s">
        <v>87</v>
      </c>
      <c r="B1" s="146"/>
      <c r="C1" s="146"/>
      <c r="D1" s="146"/>
      <c r="E1" s="146"/>
      <c r="F1" s="146"/>
      <c r="G1" s="146"/>
      <c r="H1" s="146"/>
      <c r="I1" s="146"/>
    </row>
    <row r="2" s="143" customFormat="1" ht="20.25" customHeight="1" spans="1:9">
      <c r="A2" s="147" t="s">
        <v>30</v>
      </c>
      <c r="B2" s="147" t="s">
        <v>31</v>
      </c>
      <c r="C2" s="147" t="s">
        <v>32</v>
      </c>
      <c r="D2" s="147" t="s">
        <v>33</v>
      </c>
      <c r="E2" s="147" t="s">
        <v>34</v>
      </c>
      <c r="F2" s="147" t="s">
        <v>35</v>
      </c>
      <c r="G2" s="147" t="s">
        <v>36</v>
      </c>
      <c r="H2" s="149" t="s">
        <v>84</v>
      </c>
      <c r="I2" s="147" t="s">
        <v>10</v>
      </c>
    </row>
    <row r="3" spans="1:9">
      <c r="A3" s="147" t="s">
        <v>46</v>
      </c>
      <c r="B3" s="147">
        <v>1</v>
      </c>
      <c r="C3" s="148">
        <v>41121</v>
      </c>
      <c r="D3" s="148">
        <v>41121</v>
      </c>
      <c r="E3" s="149">
        <v>54026.8</v>
      </c>
      <c r="F3" s="148">
        <v>41243</v>
      </c>
      <c r="G3" s="149">
        <v>54026.8</v>
      </c>
      <c r="H3" s="149">
        <f>E3-G3</f>
        <v>0</v>
      </c>
      <c r="I3" s="147"/>
    </row>
    <row r="4" spans="1:9">
      <c r="A4" s="147"/>
      <c r="B4" s="147">
        <v>2</v>
      </c>
      <c r="C4" s="148">
        <v>41243</v>
      </c>
      <c r="D4" s="148">
        <v>41243</v>
      </c>
      <c r="E4" s="149">
        <v>20988.32</v>
      </c>
      <c r="F4" s="148">
        <v>41270</v>
      </c>
      <c r="G4" s="149">
        <v>20988.32</v>
      </c>
      <c r="H4" s="149">
        <f>H3+E4-G4</f>
        <v>0</v>
      </c>
      <c r="I4" s="147"/>
    </row>
    <row r="5" spans="1:9">
      <c r="A5" s="147"/>
      <c r="B5" s="147">
        <v>3</v>
      </c>
      <c r="C5" s="148"/>
      <c r="D5" s="148"/>
      <c r="E5" s="149"/>
      <c r="F5" s="148"/>
      <c r="G5" s="149"/>
      <c r="H5" s="149">
        <f t="shared" ref="H5:H15" si="0">H4+E5-G5</f>
        <v>0</v>
      </c>
      <c r="I5" s="147"/>
    </row>
    <row r="6" spans="1:9">
      <c r="A6" s="147"/>
      <c r="B6" s="147">
        <v>4</v>
      </c>
      <c r="C6" s="148"/>
      <c r="D6" s="148"/>
      <c r="E6" s="149"/>
      <c r="F6" s="148"/>
      <c r="G6" s="149"/>
      <c r="H6" s="149">
        <f t="shared" si="0"/>
        <v>0</v>
      </c>
      <c r="I6" s="147"/>
    </row>
    <row r="7" spans="1:9">
      <c r="A7" s="147"/>
      <c r="B7" s="147">
        <v>5</v>
      </c>
      <c r="C7" s="148"/>
      <c r="D7" s="148"/>
      <c r="E7" s="149"/>
      <c r="F7" s="148"/>
      <c r="G7" s="149"/>
      <c r="H7" s="149">
        <f t="shared" si="0"/>
        <v>0</v>
      </c>
      <c r="I7" s="147"/>
    </row>
    <row r="8" spans="1:9">
      <c r="A8" s="147"/>
      <c r="B8" s="147">
        <v>6</v>
      </c>
      <c r="C8" s="148"/>
      <c r="D8" s="148"/>
      <c r="E8" s="149"/>
      <c r="F8" s="148"/>
      <c r="G8" s="149"/>
      <c r="H8" s="149">
        <f t="shared" si="0"/>
        <v>0</v>
      </c>
      <c r="I8" s="147"/>
    </row>
    <row r="9" spans="1:9">
      <c r="A9" s="147"/>
      <c r="B9" s="147">
        <v>7</v>
      </c>
      <c r="C9" s="148"/>
      <c r="D9" s="148"/>
      <c r="E9" s="149"/>
      <c r="F9" s="148"/>
      <c r="G9" s="149"/>
      <c r="H9" s="149">
        <f t="shared" si="0"/>
        <v>0</v>
      </c>
      <c r="I9" s="147"/>
    </row>
    <row r="10" spans="1:9">
      <c r="A10" s="147"/>
      <c r="B10" s="147">
        <v>8</v>
      </c>
      <c r="C10" s="148"/>
      <c r="D10" s="148"/>
      <c r="E10" s="149"/>
      <c r="F10" s="148"/>
      <c r="G10" s="149"/>
      <c r="H10" s="149">
        <f t="shared" si="0"/>
        <v>0</v>
      </c>
      <c r="I10" s="147"/>
    </row>
    <row r="11" spans="1:9">
      <c r="A11" s="147"/>
      <c r="B11" s="147">
        <v>9</v>
      </c>
      <c r="C11" s="148"/>
      <c r="D11" s="148"/>
      <c r="E11" s="149"/>
      <c r="F11" s="148"/>
      <c r="G11" s="149"/>
      <c r="H11" s="149">
        <f t="shared" si="0"/>
        <v>0</v>
      </c>
      <c r="I11" s="147"/>
    </row>
    <row r="12" spans="1:9">
      <c r="A12" s="147"/>
      <c r="B12" s="147">
        <v>10</v>
      </c>
      <c r="C12" s="148"/>
      <c r="D12" s="148"/>
      <c r="E12" s="149"/>
      <c r="F12" s="148"/>
      <c r="G12" s="149"/>
      <c r="H12" s="149">
        <f t="shared" si="0"/>
        <v>0</v>
      </c>
      <c r="I12" s="147"/>
    </row>
    <row r="13" spans="1:9">
      <c r="A13" s="147"/>
      <c r="B13" s="147">
        <v>11</v>
      </c>
      <c r="C13" s="148"/>
      <c r="D13" s="148"/>
      <c r="E13" s="149"/>
      <c r="F13" s="148"/>
      <c r="G13" s="149"/>
      <c r="H13" s="149">
        <f t="shared" si="0"/>
        <v>0</v>
      </c>
      <c r="I13" s="147"/>
    </row>
    <row r="14" spans="1:9">
      <c r="A14" s="147"/>
      <c r="B14" s="147">
        <v>12</v>
      </c>
      <c r="C14" s="148"/>
      <c r="D14" s="148"/>
      <c r="E14" s="149"/>
      <c r="F14" s="148"/>
      <c r="G14" s="149"/>
      <c r="H14" s="149">
        <f t="shared" si="0"/>
        <v>0</v>
      </c>
      <c r="I14" s="147"/>
    </row>
    <row r="15" spans="1:9">
      <c r="A15" s="147"/>
      <c r="B15" s="147">
        <v>13</v>
      </c>
      <c r="C15" s="148"/>
      <c r="D15" s="148"/>
      <c r="E15" s="149"/>
      <c r="F15" s="148"/>
      <c r="G15" s="149"/>
      <c r="H15" s="149">
        <f t="shared" si="0"/>
        <v>0</v>
      </c>
      <c r="I15" s="147"/>
    </row>
    <row r="16" spans="1:9">
      <c r="A16" s="147" t="s">
        <v>85</v>
      </c>
      <c r="B16" s="147"/>
      <c r="C16" s="147"/>
      <c r="D16" s="147"/>
      <c r="E16" s="149">
        <f>SUM(E3:E15)</f>
        <v>75015.12</v>
      </c>
      <c r="F16" s="147"/>
      <c r="G16" s="149">
        <f>SUM(G3:G15)</f>
        <v>75015.12</v>
      </c>
      <c r="H16" s="149">
        <f>E16-G16</f>
        <v>0</v>
      </c>
      <c r="I16" s="147"/>
    </row>
    <row r="17" spans="1:9">
      <c r="A17" s="147" t="s">
        <v>52</v>
      </c>
      <c r="B17" s="147">
        <v>1</v>
      </c>
      <c r="C17" s="148">
        <v>41305</v>
      </c>
      <c r="D17" s="148">
        <v>41364</v>
      </c>
      <c r="E17" s="149">
        <v>20708.96</v>
      </c>
      <c r="F17" s="148"/>
      <c r="G17" s="149"/>
      <c r="H17" s="149">
        <f>H16+E17-G17</f>
        <v>20708.96</v>
      </c>
      <c r="I17" s="147"/>
    </row>
    <row r="18" spans="1:9">
      <c r="A18" s="147"/>
      <c r="B18" s="147">
        <v>2</v>
      </c>
      <c r="C18" s="148">
        <v>41359</v>
      </c>
      <c r="D18" s="148">
        <v>41364</v>
      </c>
      <c r="E18" s="149">
        <v>98886.91</v>
      </c>
      <c r="F18" s="148"/>
      <c r="G18" s="149"/>
      <c r="H18" s="149">
        <f>H17+E18-G18</f>
        <v>119595.87</v>
      </c>
      <c r="I18" s="147"/>
    </row>
    <row r="19" spans="1:9">
      <c r="A19" s="147"/>
      <c r="B19" s="147">
        <v>3</v>
      </c>
      <c r="C19" s="148">
        <v>41359</v>
      </c>
      <c r="D19" s="148">
        <v>41364</v>
      </c>
      <c r="E19" s="149">
        <v>8474.56</v>
      </c>
      <c r="F19" s="148"/>
      <c r="G19" s="149"/>
      <c r="H19" s="149">
        <f t="shared" ref="H19:H29" si="1">H18+E19-G19</f>
        <v>128070.43</v>
      </c>
      <c r="I19" s="147"/>
    </row>
    <row r="20" spans="1:9">
      <c r="A20" s="147"/>
      <c r="B20" s="147">
        <v>4</v>
      </c>
      <c r="C20" s="148">
        <v>41453</v>
      </c>
      <c r="D20" s="148">
        <v>41453</v>
      </c>
      <c r="E20" s="149">
        <v>23254.17</v>
      </c>
      <c r="F20" s="148">
        <v>41391</v>
      </c>
      <c r="G20" s="149">
        <v>128070.43</v>
      </c>
      <c r="H20" s="149">
        <f t="shared" si="1"/>
        <v>23254.17</v>
      </c>
      <c r="I20" s="147"/>
    </row>
    <row r="21" spans="1:9">
      <c r="A21" s="147"/>
      <c r="B21" s="147">
        <v>5</v>
      </c>
      <c r="C21" s="148">
        <v>41573</v>
      </c>
      <c r="D21" s="148">
        <v>41573</v>
      </c>
      <c r="E21" s="149">
        <v>107021.04</v>
      </c>
      <c r="F21" s="148">
        <v>41517</v>
      </c>
      <c r="G21" s="149">
        <v>23254.17</v>
      </c>
      <c r="H21" s="149">
        <f t="shared" si="1"/>
        <v>107021.04</v>
      </c>
      <c r="I21" s="147"/>
    </row>
    <row r="22" spans="1:9">
      <c r="A22" s="147"/>
      <c r="B22" s="147">
        <v>6</v>
      </c>
      <c r="C22" s="148">
        <v>41628</v>
      </c>
      <c r="D22" s="148">
        <v>41628</v>
      </c>
      <c r="E22" s="149">
        <v>26979.72</v>
      </c>
      <c r="F22" s="148">
        <v>41639</v>
      </c>
      <c r="G22" s="149">
        <v>107021.04</v>
      </c>
      <c r="H22" s="149">
        <f t="shared" si="1"/>
        <v>26979.72</v>
      </c>
      <c r="I22" s="147"/>
    </row>
    <row r="23" spans="1:9">
      <c r="A23" s="147"/>
      <c r="B23" s="147">
        <v>7</v>
      </c>
      <c r="C23" s="148"/>
      <c r="D23" s="148"/>
      <c r="E23" s="149"/>
      <c r="F23" s="148"/>
      <c r="G23" s="149"/>
      <c r="H23" s="149">
        <f t="shared" si="1"/>
        <v>26979.72</v>
      </c>
      <c r="I23" s="147"/>
    </row>
    <row r="24" spans="1:9">
      <c r="A24" s="147"/>
      <c r="B24" s="147">
        <v>8</v>
      </c>
      <c r="C24" s="148"/>
      <c r="D24" s="148"/>
      <c r="E24" s="149"/>
      <c r="F24" s="148"/>
      <c r="G24" s="149"/>
      <c r="H24" s="149">
        <f t="shared" si="1"/>
        <v>26979.72</v>
      </c>
      <c r="I24" s="147"/>
    </row>
    <row r="25" spans="1:9">
      <c r="A25" s="147"/>
      <c r="B25" s="147">
        <v>9</v>
      </c>
      <c r="C25" s="148"/>
      <c r="D25" s="148"/>
      <c r="E25" s="149"/>
      <c r="F25" s="148"/>
      <c r="G25" s="149"/>
      <c r="H25" s="149">
        <f t="shared" si="1"/>
        <v>26979.72</v>
      </c>
      <c r="I25" s="147"/>
    </row>
    <row r="26" spans="1:9">
      <c r="A26" s="147"/>
      <c r="B26" s="147">
        <v>10</v>
      </c>
      <c r="C26" s="148"/>
      <c r="D26" s="148"/>
      <c r="E26" s="149"/>
      <c r="F26" s="148"/>
      <c r="G26" s="149"/>
      <c r="H26" s="149">
        <f t="shared" si="1"/>
        <v>26979.72</v>
      </c>
      <c r="I26" s="147"/>
    </row>
    <row r="27" spans="1:9">
      <c r="A27" s="147"/>
      <c r="B27" s="147">
        <v>11</v>
      </c>
      <c r="C27" s="148"/>
      <c r="D27" s="148"/>
      <c r="E27" s="149"/>
      <c r="F27" s="148"/>
      <c r="G27" s="149"/>
      <c r="H27" s="149">
        <f t="shared" si="1"/>
        <v>26979.72</v>
      </c>
      <c r="I27" s="147"/>
    </row>
    <row r="28" spans="1:9">
      <c r="A28" s="147"/>
      <c r="B28" s="147">
        <v>12</v>
      </c>
      <c r="C28" s="148"/>
      <c r="D28" s="148"/>
      <c r="E28" s="149"/>
      <c r="F28" s="148"/>
      <c r="G28" s="149"/>
      <c r="H28" s="149">
        <f t="shared" si="1"/>
        <v>26979.72</v>
      </c>
      <c r="I28" s="147"/>
    </row>
    <row r="29" spans="1:9">
      <c r="A29" s="147"/>
      <c r="B29" s="147">
        <v>13</v>
      </c>
      <c r="C29" s="148"/>
      <c r="D29" s="148"/>
      <c r="E29" s="149"/>
      <c r="F29" s="148"/>
      <c r="G29" s="149"/>
      <c r="H29" s="149">
        <f t="shared" si="1"/>
        <v>26979.72</v>
      </c>
      <c r="I29" s="147"/>
    </row>
    <row r="30" spans="1:9">
      <c r="A30" s="147" t="s">
        <v>85</v>
      </c>
      <c r="B30" s="147"/>
      <c r="C30" s="147"/>
      <c r="D30" s="147"/>
      <c r="E30" s="149">
        <f>SUM(E17:E29)</f>
        <v>285325.36</v>
      </c>
      <c r="F30" s="147"/>
      <c r="G30" s="149">
        <f>SUM(G17:G29)</f>
        <v>258345.64</v>
      </c>
      <c r="H30" s="149">
        <f>H16+E30-G30</f>
        <v>26979.72</v>
      </c>
      <c r="I30" s="147"/>
    </row>
    <row r="31" spans="1:9">
      <c r="A31" s="147" t="s">
        <v>52</v>
      </c>
      <c r="B31" s="147">
        <v>1</v>
      </c>
      <c r="C31" s="148"/>
      <c r="D31" s="148"/>
      <c r="E31" s="149"/>
      <c r="F31" s="148"/>
      <c r="G31" s="149"/>
      <c r="H31" s="149">
        <f>H30+E31-G31</f>
        <v>26979.72</v>
      </c>
      <c r="I31" s="147"/>
    </row>
    <row r="32" spans="1:9">
      <c r="A32" s="147"/>
      <c r="B32" s="147">
        <v>2</v>
      </c>
      <c r="C32" s="148"/>
      <c r="D32" s="148"/>
      <c r="E32" s="149"/>
      <c r="F32" s="148">
        <v>41670</v>
      </c>
      <c r="G32" s="149">
        <v>26979.72</v>
      </c>
      <c r="H32" s="149">
        <f>H31+E32-G32</f>
        <v>2.91038304567337e-11</v>
      </c>
      <c r="I32" s="147"/>
    </row>
    <row r="33" spans="1:9">
      <c r="A33" s="147"/>
      <c r="B33" s="147">
        <v>3</v>
      </c>
      <c r="C33" s="148"/>
      <c r="D33" s="148"/>
      <c r="E33" s="149"/>
      <c r="F33" s="148"/>
      <c r="G33" s="149"/>
      <c r="H33" s="149">
        <f t="shared" ref="H33:H43" si="2">H32+E33-G33</f>
        <v>2.91038304567337e-11</v>
      </c>
      <c r="I33" s="147"/>
    </row>
    <row r="34" spans="1:9">
      <c r="A34" s="147"/>
      <c r="B34" s="147">
        <v>4</v>
      </c>
      <c r="C34" s="148"/>
      <c r="D34" s="148"/>
      <c r="E34" s="149"/>
      <c r="F34" s="148"/>
      <c r="G34" s="149"/>
      <c r="H34" s="149">
        <f t="shared" si="2"/>
        <v>2.91038304567337e-11</v>
      </c>
      <c r="I34" s="147"/>
    </row>
    <row r="35" spans="1:9">
      <c r="A35" s="147"/>
      <c r="B35" s="147">
        <v>5</v>
      </c>
      <c r="C35" s="148"/>
      <c r="D35" s="148"/>
      <c r="E35" s="149"/>
      <c r="F35" s="148"/>
      <c r="G35" s="149"/>
      <c r="H35" s="149">
        <f t="shared" si="2"/>
        <v>2.91038304567337e-11</v>
      </c>
      <c r="I35" s="147"/>
    </row>
    <row r="36" spans="1:9">
      <c r="A36" s="147"/>
      <c r="B36" s="147">
        <v>6</v>
      </c>
      <c r="C36" s="148"/>
      <c r="D36" s="148"/>
      <c r="E36" s="149"/>
      <c r="F36" s="148"/>
      <c r="G36" s="149"/>
      <c r="H36" s="149">
        <f t="shared" si="2"/>
        <v>2.91038304567337e-11</v>
      </c>
      <c r="I36" s="147"/>
    </row>
    <row r="37" spans="1:9">
      <c r="A37" s="147"/>
      <c r="B37" s="147">
        <v>7</v>
      </c>
      <c r="C37" s="148"/>
      <c r="D37" s="148"/>
      <c r="E37" s="149"/>
      <c r="F37" s="148"/>
      <c r="G37" s="149"/>
      <c r="H37" s="149">
        <f t="shared" si="2"/>
        <v>2.91038304567337e-11</v>
      </c>
      <c r="I37" s="147"/>
    </row>
    <row r="38" spans="1:9">
      <c r="A38" s="147"/>
      <c r="B38" s="147">
        <v>8</v>
      </c>
      <c r="C38" s="148"/>
      <c r="D38" s="148"/>
      <c r="E38" s="149"/>
      <c r="F38" s="148"/>
      <c r="G38" s="149"/>
      <c r="H38" s="149">
        <f t="shared" si="2"/>
        <v>2.91038304567337e-11</v>
      </c>
      <c r="I38" s="147"/>
    </row>
    <row r="39" spans="1:9">
      <c r="A39" s="147"/>
      <c r="B39" s="147">
        <v>9</v>
      </c>
      <c r="C39" s="148"/>
      <c r="D39" s="148"/>
      <c r="E39" s="149"/>
      <c r="F39" s="148"/>
      <c r="G39" s="149"/>
      <c r="H39" s="149">
        <f t="shared" si="2"/>
        <v>2.91038304567337e-11</v>
      </c>
      <c r="I39" s="147"/>
    </row>
    <row r="40" spans="1:9">
      <c r="A40" s="147"/>
      <c r="B40" s="147">
        <v>10</v>
      </c>
      <c r="C40" s="148"/>
      <c r="D40" s="148"/>
      <c r="E40" s="149"/>
      <c r="F40" s="148"/>
      <c r="G40" s="149"/>
      <c r="H40" s="149">
        <f t="shared" si="2"/>
        <v>2.91038304567337e-11</v>
      </c>
      <c r="I40" s="147"/>
    </row>
    <row r="41" spans="1:9">
      <c r="A41" s="147"/>
      <c r="B41" s="147">
        <v>11</v>
      </c>
      <c r="C41" s="148"/>
      <c r="D41" s="148"/>
      <c r="E41" s="149"/>
      <c r="F41" s="148"/>
      <c r="G41" s="149"/>
      <c r="H41" s="149">
        <f t="shared" si="2"/>
        <v>2.91038304567337e-11</v>
      </c>
      <c r="I41" s="147"/>
    </row>
    <row r="42" spans="1:9">
      <c r="A42" s="147"/>
      <c r="B42" s="147">
        <v>12</v>
      </c>
      <c r="C42" s="148"/>
      <c r="D42" s="148"/>
      <c r="E42" s="149"/>
      <c r="F42" s="148"/>
      <c r="G42" s="149"/>
      <c r="H42" s="149">
        <f t="shared" si="2"/>
        <v>2.91038304567337e-11</v>
      </c>
      <c r="I42" s="147"/>
    </row>
    <row r="43" spans="1:9">
      <c r="A43" s="147"/>
      <c r="B43" s="147">
        <v>13</v>
      </c>
      <c r="C43" s="148"/>
      <c r="D43" s="148"/>
      <c r="E43" s="149"/>
      <c r="F43" s="148"/>
      <c r="G43" s="149"/>
      <c r="H43" s="149">
        <f t="shared" si="2"/>
        <v>2.91038304567337e-11</v>
      </c>
      <c r="I43" s="147"/>
    </row>
    <row r="44" spans="1:9">
      <c r="A44" s="147" t="s">
        <v>85</v>
      </c>
      <c r="B44" s="147"/>
      <c r="C44" s="147"/>
      <c r="D44" s="147"/>
      <c r="E44" s="149">
        <f>SUM(E31:E43)</f>
        <v>0</v>
      </c>
      <c r="F44" s="147"/>
      <c r="G44" s="149">
        <f>SUM(G31:G43)</f>
        <v>26979.72</v>
      </c>
      <c r="H44" s="149">
        <f>H30+E44-G44</f>
        <v>2.91038304567337e-11</v>
      </c>
      <c r="I44" s="147"/>
    </row>
    <row r="45" spans="1:9">
      <c r="A45" s="147" t="s">
        <v>88</v>
      </c>
      <c r="B45" s="147"/>
      <c r="C45" s="147"/>
      <c r="D45" s="147"/>
      <c r="E45" s="149">
        <f>SUM(E16,E30,E44)</f>
        <v>360340.48</v>
      </c>
      <c r="F45" s="147"/>
      <c r="G45" s="149">
        <f>SUM(G16,G30,G44)</f>
        <v>360340.48</v>
      </c>
      <c r="H45" s="149">
        <f>E45-G45</f>
        <v>0</v>
      </c>
      <c r="I45" s="147"/>
    </row>
  </sheetData>
  <mergeCells count="8">
    <mergeCell ref="A1:I1"/>
    <mergeCell ref="A16:C16"/>
    <mergeCell ref="A30:C30"/>
    <mergeCell ref="A44:C44"/>
    <mergeCell ref="A45:C45"/>
    <mergeCell ref="A3:A15"/>
    <mergeCell ref="A17:A29"/>
    <mergeCell ref="A31:A4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15年总表</vt:lpstr>
      <vt:lpstr>克拉克</vt:lpstr>
      <vt:lpstr>2个月预收款</vt:lpstr>
      <vt:lpstr>数据表</vt:lpstr>
      <vt:lpstr>分析图表1</vt:lpstr>
      <vt:lpstr>分析图表2</vt:lpstr>
      <vt:lpstr>分析图表3</vt:lpstr>
      <vt:lpstr>上海现大</vt:lpstr>
      <vt:lpstr>太平洋</vt:lpstr>
      <vt:lpstr>元映贸易</vt:lpstr>
      <vt:lpstr>东明</vt:lpstr>
      <vt:lpstr>三一 </vt:lpstr>
      <vt:lpstr>青岛乐星</vt:lpstr>
      <vt:lpstr>无锡裕中</vt:lpstr>
      <vt:lpstr>内部资料1</vt:lpstr>
      <vt:lpstr>克拉克1</vt:lpstr>
      <vt:lpstr>四川现代1</vt:lpstr>
      <vt:lpstr>四川DYMOS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1996-12-17T01:32:00Z</dcterms:created>
  <cp:lastPrinted>2011-01-28T06:23:00Z</cp:lastPrinted>
  <dcterms:modified xsi:type="dcterms:W3CDTF">2017-05-18T10:46:24Z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