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280"/>
  </bookViews>
  <sheets>
    <sheet name="基础数据表" sheetId="2" r:id="rId1"/>
    <sheet name="材料入库明细表" sheetId="4" r:id="rId2"/>
    <sheet name="本月领取情况记录表" sheetId="5" r:id="rId3"/>
    <sheet name="材料进出库存月报表" sheetId="6" r:id="rId4"/>
  </sheets>
  <externalReferences>
    <externalReference r:id="rId5"/>
    <externalReference r:id="rId6"/>
  </externalReferences>
  <definedNames>
    <definedName name="材料编码">OFFEST(基础数据表!$C$2,,,COUNTA(基础数据表!$C:$C)-1,1)</definedName>
    <definedName name="供应商编号">OFFSET(基础数据表!$A$2,,,COUNTA(基础数据表!$A:$A)-1,1)</definedName>
    <definedName name="供应商名称">OFFSET(基础数据表!$B$2,,,COUNTA(基础数据表!$B:$B)-1,1)</definedName>
  </definedNames>
  <calcPr calcId="144525"/>
</workbook>
</file>

<file path=xl/sharedStrings.xml><?xml version="1.0" encoding="utf-8"?>
<sst xmlns="http://schemas.openxmlformats.org/spreadsheetml/2006/main" count="553" uniqueCount="141">
  <si>
    <t>基础数据表</t>
  </si>
  <si>
    <t>供应商编号</t>
  </si>
  <si>
    <t>供应商名称</t>
  </si>
  <si>
    <t>材料编码</t>
  </si>
  <si>
    <t>材料类别</t>
  </si>
  <si>
    <t>规格型号</t>
  </si>
  <si>
    <t>单位</t>
  </si>
  <si>
    <t>单价</t>
  </si>
  <si>
    <t>YQJ-0001</t>
  </si>
  <si>
    <t>新为电子</t>
  </si>
  <si>
    <t>DZ0001</t>
  </si>
  <si>
    <t>电阻</t>
  </si>
  <si>
    <r>
      <rPr>
        <sz val="11"/>
        <color theme="1"/>
        <rFont val="宋体"/>
        <charset val="134"/>
        <scheme val="minor"/>
      </rPr>
      <t>25</t>
    </r>
    <r>
      <rPr>
        <sz val="11"/>
        <color theme="1"/>
        <rFont val="宋体"/>
        <charset val="134"/>
      </rPr>
      <t>Ω</t>
    </r>
  </si>
  <si>
    <t>支</t>
  </si>
  <si>
    <t>YQJ-0002</t>
  </si>
  <si>
    <t>DZ0002</t>
  </si>
  <si>
    <r>
      <rPr>
        <sz val="11"/>
        <color theme="1"/>
        <rFont val="宋体"/>
        <charset val="134"/>
        <scheme val="minor"/>
      </rPr>
      <t>32Ω</t>
    </r>
  </si>
  <si>
    <t>YQJ-0003</t>
  </si>
  <si>
    <t>三河集团</t>
  </si>
  <si>
    <t>DZ0003</t>
  </si>
  <si>
    <r>
      <rPr>
        <sz val="11"/>
        <color theme="1"/>
        <rFont val="宋体"/>
        <charset val="134"/>
        <scheme val="minor"/>
      </rPr>
      <t>100Ω</t>
    </r>
  </si>
  <si>
    <t>YQJ-0004</t>
  </si>
  <si>
    <t>元丰今日</t>
  </si>
  <si>
    <t>DZ0004</t>
  </si>
  <si>
    <r>
      <rPr>
        <sz val="11"/>
        <color theme="1"/>
        <rFont val="宋体"/>
        <charset val="134"/>
        <scheme val="minor"/>
      </rPr>
      <t>320Ω</t>
    </r>
  </si>
  <si>
    <t>JCK-0001</t>
  </si>
  <si>
    <t>金元电器</t>
  </si>
  <si>
    <t>DZ0005</t>
  </si>
  <si>
    <r>
      <rPr>
        <sz val="11"/>
        <color theme="1"/>
        <rFont val="宋体"/>
        <charset val="134"/>
        <scheme val="minor"/>
      </rPr>
      <t>29Ω</t>
    </r>
  </si>
  <si>
    <t>JCK-0002</t>
  </si>
  <si>
    <t>DZ0006</t>
  </si>
  <si>
    <r>
      <rPr>
        <sz val="11"/>
        <color theme="1"/>
        <rFont val="宋体"/>
        <charset val="134"/>
        <scheme val="minor"/>
      </rPr>
      <t>30Ω</t>
    </r>
  </si>
  <si>
    <t>JCK-0003</t>
  </si>
  <si>
    <t>盛华</t>
  </si>
  <si>
    <t>DR0001</t>
  </si>
  <si>
    <t>电容</t>
  </si>
  <si>
    <t>10F</t>
  </si>
  <si>
    <t>JCK-0004</t>
  </si>
  <si>
    <t>恒杰电子</t>
  </si>
  <si>
    <t>DR0002</t>
  </si>
  <si>
    <t>18F</t>
  </si>
  <si>
    <t>JCK-0005</t>
  </si>
  <si>
    <t>华声集团</t>
  </si>
  <si>
    <t>DR0003</t>
  </si>
  <si>
    <t>50F</t>
  </si>
  <si>
    <t>XSQ-0001</t>
  </si>
  <si>
    <t>海域电子</t>
  </si>
  <si>
    <t>DR0004</t>
  </si>
  <si>
    <t>100F</t>
  </si>
  <si>
    <t>XSQ-0002</t>
  </si>
  <si>
    <t>DR0005</t>
  </si>
  <si>
    <t>25F</t>
  </si>
  <si>
    <t>XSQ-0003</t>
  </si>
  <si>
    <t>创维科技</t>
  </si>
  <si>
    <t>DR0006</t>
  </si>
  <si>
    <t>0.5F</t>
  </si>
  <si>
    <t>XSQ-0004</t>
  </si>
  <si>
    <t>宏图三胞</t>
  </si>
  <si>
    <t>JCK001</t>
  </si>
  <si>
    <t>集成块</t>
  </si>
  <si>
    <t>AEu8139</t>
  </si>
  <si>
    <t>XSQ-0005</t>
  </si>
  <si>
    <t>罗利亚</t>
  </si>
  <si>
    <t>JCK002</t>
  </si>
  <si>
    <t>AEu8120</t>
  </si>
  <si>
    <t>SRQ-0001</t>
  </si>
  <si>
    <t>克罗保</t>
  </si>
  <si>
    <t>JCK003</t>
  </si>
  <si>
    <t>AEu8141</t>
  </si>
  <si>
    <t>TX-0001</t>
  </si>
  <si>
    <t>志邦</t>
  </si>
  <si>
    <t>JCK004</t>
  </si>
  <si>
    <t>AEu8152</t>
  </si>
  <si>
    <t>YZB-0001</t>
  </si>
  <si>
    <t>佳缘电器</t>
  </si>
  <si>
    <t>JCK005</t>
  </si>
  <si>
    <t>AEu8143</t>
  </si>
  <si>
    <t>YZB-0002</t>
  </si>
  <si>
    <t>时代电子</t>
  </si>
  <si>
    <t>JCK006</t>
  </si>
  <si>
    <t>AEu9144</t>
  </si>
  <si>
    <t>YZB-0003</t>
  </si>
  <si>
    <t>思创科技</t>
  </si>
  <si>
    <t>JCK007</t>
  </si>
  <si>
    <t>AEu8145</t>
  </si>
  <si>
    <t>材料入库明细表</t>
  </si>
  <si>
    <t>月</t>
  </si>
  <si>
    <t>日</t>
  </si>
  <si>
    <t>供货商编号</t>
  </si>
  <si>
    <t>供货商名称</t>
  </si>
  <si>
    <t>凭证号</t>
  </si>
  <si>
    <t>类别</t>
  </si>
  <si>
    <t>入库数量</t>
  </si>
  <si>
    <t>金额</t>
  </si>
  <si>
    <t>本月领取情况记录表</t>
  </si>
  <si>
    <t>金额合计：</t>
  </si>
  <si>
    <t>部门编码</t>
  </si>
  <si>
    <t>部门名称</t>
  </si>
  <si>
    <t>申领数量</t>
  </si>
  <si>
    <t>实发数量数量</t>
  </si>
  <si>
    <t>单位成本</t>
  </si>
  <si>
    <t>KB001</t>
  </si>
  <si>
    <t>一车间</t>
  </si>
  <si>
    <t>25Ω</t>
  </si>
  <si>
    <t>32Ω</t>
  </si>
  <si>
    <t>100Ω</t>
  </si>
  <si>
    <t>320Ω</t>
  </si>
  <si>
    <t>29Ω</t>
  </si>
  <si>
    <t>30Ω</t>
  </si>
  <si>
    <t>KB002</t>
  </si>
  <si>
    <t>二车间</t>
  </si>
  <si>
    <t>KB003</t>
  </si>
  <si>
    <t>三车间</t>
  </si>
  <si>
    <t>KB004</t>
  </si>
  <si>
    <t>四车间</t>
  </si>
  <si>
    <t>KB005</t>
  </si>
  <si>
    <t>五车间</t>
  </si>
  <si>
    <t>KB006</t>
  </si>
  <si>
    <t>维修部</t>
  </si>
  <si>
    <t>KB007</t>
  </si>
  <si>
    <t>综合部</t>
  </si>
  <si>
    <t>材料进出库存月报表</t>
  </si>
  <si>
    <t>公司名称</t>
  </si>
  <si>
    <t>华云信息有限公司</t>
  </si>
  <si>
    <t>制表时间</t>
  </si>
  <si>
    <t>制表部门</t>
  </si>
  <si>
    <t>品管部</t>
  </si>
  <si>
    <t>元</t>
  </si>
  <si>
    <t>合  计  金  额</t>
  </si>
  <si>
    <t>唯一性</t>
  </si>
  <si>
    <t>材料</t>
  </si>
  <si>
    <t>名    称</t>
  </si>
  <si>
    <t>单</t>
  </si>
  <si>
    <r>
      <rPr>
        <b/>
        <sz val="11"/>
        <color theme="1"/>
        <rFont val="宋体"/>
        <charset val="134"/>
        <scheme val="minor"/>
      </rPr>
      <t>上</t>
    </r>
    <r>
      <rPr>
        <b/>
        <sz val="12"/>
        <rFont val="Times New Roman"/>
        <charset val="134"/>
      </rPr>
      <t xml:space="preserve">  </t>
    </r>
    <r>
      <rPr>
        <b/>
        <sz val="11"/>
        <color theme="1"/>
        <rFont val="宋体"/>
        <charset val="134"/>
        <scheme val="minor"/>
      </rPr>
      <t>月</t>
    </r>
    <r>
      <rPr>
        <b/>
        <sz val="12"/>
        <rFont val="Times New Roman"/>
        <charset val="134"/>
      </rPr>
      <t xml:space="preserve">  </t>
    </r>
    <r>
      <rPr>
        <b/>
        <sz val="11"/>
        <color theme="1"/>
        <rFont val="宋体"/>
        <charset val="134"/>
        <scheme val="minor"/>
      </rPr>
      <t>结</t>
    </r>
    <r>
      <rPr>
        <b/>
        <sz val="12"/>
        <rFont val="Times New Roman"/>
        <charset val="134"/>
      </rPr>
      <t xml:space="preserve">  </t>
    </r>
    <r>
      <rPr>
        <b/>
        <sz val="11"/>
        <color theme="1"/>
        <rFont val="宋体"/>
        <charset val="134"/>
        <scheme val="minor"/>
      </rPr>
      <t>存</t>
    </r>
  </si>
  <si>
    <r>
      <rPr>
        <b/>
        <sz val="11"/>
        <color theme="1"/>
        <rFont val="宋体"/>
        <charset val="134"/>
        <scheme val="minor"/>
      </rPr>
      <t>本</t>
    </r>
    <r>
      <rPr>
        <b/>
        <sz val="12"/>
        <rFont val="Times New Roman"/>
        <charset val="134"/>
      </rPr>
      <t xml:space="preserve">  </t>
    </r>
    <r>
      <rPr>
        <b/>
        <sz val="11"/>
        <color theme="1"/>
        <rFont val="宋体"/>
        <charset val="134"/>
        <scheme val="minor"/>
      </rPr>
      <t>月</t>
    </r>
    <r>
      <rPr>
        <b/>
        <sz val="12"/>
        <rFont val="Times New Roman"/>
        <charset val="134"/>
      </rPr>
      <t xml:space="preserve">  </t>
    </r>
    <r>
      <rPr>
        <b/>
        <sz val="11"/>
        <color theme="1"/>
        <rFont val="宋体"/>
        <charset val="134"/>
        <scheme val="minor"/>
      </rPr>
      <t>进</t>
    </r>
    <r>
      <rPr>
        <b/>
        <sz val="12"/>
        <rFont val="Times New Roman"/>
        <charset val="134"/>
      </rPr>
      <t xml:space="preserve">  </t>
    </r>
    <r>
      <rPr>
        <b/>
        <sz val="11"/>
        <color theme="1"/>
        <rFont val="宋体"/>
        <charset val="134"/>
        <scheme val="minor"/>
      </rPr>
      <t>货</t>
    </r>
  </si>
  <si>
    <r>
      <rPr>
        <b/>
        <sz val="11"/>
        <color theme="1"/>
        <rFont val="宋体"/>
        <charset val="134"/>
        <scheme val="minor"/>
      </rPr>
      <t>本</t>
    </r>
    <r>
      <rPr>
        <b/>
        <sz val="12"/>
        <rFont val="Times New Roman"/>
        <charset val="134"/>
      </rPr>
      <t xml:space="preserve">  </t>
    </r>
    <r>
      <rPr>
        <b/>
        <sz val="11"/>
        <color theme="1"/>
        <rFont val="宋体"/>
        <charset val="134"/>
        <scheme val="minor"/>
      </rPr>
      <t>月</t>
    </r>
    <r>
      <rPr>
        <b/>
        <sz val="12"/>
        <rFont val="Times New Roman"/>
        <charset val="134"/>
      </rPr>
      <t xml:space="preserve">  </t>
    </r>
    <r>
      <rPr>
        <b/>
        <sz val="11"/>
        <color theme="1"/>
        <rFont val="宋体"/>
        <charset val="134"/>
        <scheme val="minor"/>
      </rPr>
      <t>出</t>
    </r>
    <r>
      <rPr>
        <b/>
        <sz val="12"/>
        <rFont val="Times New Roman"/>
        <charset val="134"/>
      </rPr>
      <t xml:space="preserve">  </t>
    </r>
    <r>
      <rPr>
        <b/>
        <sz val="11"/>
        <color theme="1"/>
        <rFont val="宋体"/>
        <charset val="134"/>
        <scheme val="minor"/>
      </rPr>
      <t>货</t>
    </r>
  </si>
  <si>
    <r>
      <rPr>
        <b/>
        <sz val="11"/>
        <color theme="1"/>
        <rFont val="宋体"/>
        <charset val="134"/>
        <scheme val="minor"/>
      </rPr>
      <t>本</t>
    </r>
    <r>
      <rPr>
        <b/>
        <sz val="12"/>
        <rFont val="Times New Roman"/>
        <charset val="134"/>
      </rPr>
      <t xml:space="preserve">  </t>
    </r>
    <r>
      <rPr>
        <b/>
        <sz val="11"/>
        <color theme="1"/>
        <rFont val="宋体"/>
        <charset val="134"/>
        <scheme val="minor"/>
      </rPr>
      <t>月</t>
    </r>
    <r>
      <rPr>
        <b/>
        <sz val="12"/>
        <rFont val="Times New Roman"/>
        <charset val="134"/>
      </rPr>
      <t xml:space="preserve">  </t>
    </r>
    <r>
      <rPr>
        <b/>
        <sz val="11"/>
        <color theme="1"/>
        <rFont val="宋体"/>
        <charset val="134"/>
        <scheme val="minor"/>
      </rPr>
      <t>结</t>
    </r>
    <r>
      <rPr>
        <b/>
        <sz val="12"/>
        <rFont val="Times New Roman"/>
        <charset val="134"/>
      </rPr>
      <t xml:space="preserve">  </t>
    </r>
    <r>
      <rPr>
        <b/>
        <sz val="11"/>
        <color theme="1"/>
        <rFont val="宋体"/>
        <charset val="134"/>
        <scheme val="minor"/>
      </rPr>
      <t>存</t>
    </r>
  </si>
  <si>
    <t>编码</t>
  </si>
  <si>
    <t>及规格型号</t>
  </si>
  <si>
    <t>位</t>
  </si>
  <si>
    <t>数量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</si>
</sst>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44" formatCode="_ &quot;￥&quot;* #,##0.00_ ;_ &quot;￥&quot;* \-#,##0.00_ ;_ &quot;￥&quot;* &quot;-&quot;??_ ;_ @_ "/>
    <numFmt numFmtId="177" formatCode="0.0_);[Red]\(0.0\)"/>
  </numFmts>
  <fonts count="4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4"/>
      <color theme="0"/>
      <name val="华文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b/>
      <sz val="12"/>
      <name val="黑体"/>
      <charset val="134"/>
    </font>
    <font>
      <sz val="14"/>
      <name val="黑体"/>
      <charset val="134"/>
    </font>
    <font>
      <b/>
      <sz val="11"/>
      <color theme="1"/>
      <name val="宋体"/>
      <charset val="134"/>
      <scheme val="minor"/>
    </font>
    <font>
      <b/>
      <sz val="12"/>
      <name val="Times New Roman"/>
      <charset val="134"/>
    </font>
    <font>
      <b/>
      <sz val="11"/>
      <color rgb="FFFF0000"/>
      <name val="宋体"/>
      <charset val="134"/>
    </font>
    <font>
      <sz val="11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sz val="10"/>
      <color rgb="FF99FFCC"/>
      <name val="宋体"/>
      <charset val="134"/>
      <scheme val="minor"/>
    </font>
    <font>
      <sz val="28"/>
      <color theme="1"/>
      <name val="华文中宋"/>
      <charset val="134"/>
    </font>
    <font>
      <b/>
      <sz val="11"/>
      <color theme="1"/>
      <name val="华文中宋"/>
      <charset val="134"/>
    </font>
    <font>
      <sz val="10"/>
      <color theme="1"/>
      <name val="华文中宋"/>
      <charset val="134"/>
    </font>
    <font>
      <sz val="11"/>
      <color theme="1"/>
      <name val="华文中宋"/>
      <charset val="134"/>
    </font>
    <font>
      <b/>
      <sz val="28"/>
      <color theme="0"/>
      <name val="楷体_GB2312"/>
      <charset val="134"/>
    </font>
    <font>
      <b/>
      <sz val="24"/>
      <color theme="1"/>
      <name val="微软雅黑"/>
      <charset val="134"/>
    </font>
    <font>
      <b/>
      <sz val="11"/>
      <color theme="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D9F5F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8" fillId="20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4" fillId="27" borderId="30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5" fillId="0" borderId="32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11" borderId="26" applyNumberFormat="0" applyAlignment="0" applyProtection="0">
      <alignment vertical="center"/>
    </xf>
    <xf numFmtId="0" fontId="27" fillId="11" borderId="27" applyNumberFormat="0" applyAlignment="0" applyProtection="0">
      <alignment vertical="center"/>
    </xf>
    <xf numFmtId="0" fontId="38" fillId="35" borderId="33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hidden="1"/>
    </xf>
    <xf numFmtId="49" fontId="4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>
      <alignment horizontal="left" vertical="center"/>
    </xf>
    <xf numFmtId="49" fontId="6" fillId="0" borderId="1" xfId="0" applyNumberFormat="1" applyFont="1" applyBorder="1" applyAlignment="1" applyProtection="1">
      <alignment horizontal="center" vertical="center"/>
      <protection hidden="1"/>
    </xf>
    <xf numFmtId="49" fontId="6" fillId="0" borderId="2" xfId="0" applyNumberFormat="1" applyFont="1" applyBorder="1" applyAlignment="1" applyProtection="1">
      <alignment horizontal="center" vertical="center"/>
      <protection hidden="1"/>
    </xf>
    <xf numFmtId="43" fontId="7" fillId="3" borderId="3" xfId="8" applyFont="1" applyFill="1" applyBorder="1" applyAlignment="1" applyProtection="1">
      <alignment horizontal="right" vertical="center"/>
      <protection hidden="1"/>
    </xf>
    <xf numFmtId="43" fontId="7" fillId="3" borderId="4" xfId="8" applyFont="1" applyFill="1" applyBorder="1" applyAlignment="1" applyProtection="1">
      <alignment horizontal="right" vertical="center"/>
      <protection hidden="1"/>
    </xf>
    <xf numFmtId="43" fontId="7" fillId="3" borderId="5" xfId="8" applyFont="1" applyFill="1" applyBorder="1" applyAlignment="1" applyProtection="1">
      <alignment horizontal="right" vertical="center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4" borderId="7" xfId="0" applyFont="1" applyFill="1" applyBorder="1" applyAlignment="1" applyProtection="1">
      <alignment horizontal="center" vertical="center"/>
      <protection hidden="1"/>
    </xf>
    <xf numFmtId="0" fontId="9" fillId="4" borderId="7" xfId="0" applyFont="1" applyFill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4" borderId="7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76" fontId="2" fillId="4" borderId="9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7" xfId="0" applyFont="1" applyBorder="1" applyAlignment="1" applyProtection="1">
      <alignment horizontal="center" vertical="center"/>
      <protection hidden="1"/>
    </xf>
    <xf numFmtId="0" fontId="8" fillId="5" borderId="7" xfId="0" applyFont="1" applyFill="1" applyBorder="1" applyAlignment="1" applyProtection="1">
      <alignment horizontal="center" vertical="center"/>
      <protection hidden="1"/>
    </xf>
    <xf numFmtId="0" fontId="9" fillId="5" borderId="7" xfId="0" applyFont="1" applyFill="1" applyBorder="1" applyAlignment="1" applyProtection="1">
      <alignment horizontal="center" vertical="center"/>
      <protection hidden="1"/>
    </xf>
    <xf numFmtId="0" fontId="2" fillId="5" borderId="7" xfId="0" applyFont="1" applyFill="1" applyBorder="1" applyAlignment="1">
      <alignment horizontal="center" vertical="center"/>
    </xf>
    <xf numFmtId="176" fontId="2" fillId="5" borderId="7" xfId="0" applyNumberFormat="1" applyFont="1" applyFill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176" fontId="2" fillId="5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44" fontId="11" fillId="0" borderId="0" xfId="4" applyFont="1" applyBorder="1" applyAlignment="1">
      <alignment horizontal="left" vertical="center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2" fillId="6" borderId="13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5" borderId="16" xfId="0" applyFont="1" applyFill="1" applyBorder="1" applyAlignment="1" applyProtection="1">
      <alignment horizontal="center" vertical="center"/>
      <protection hidden="1"/>
    </xf>
    <xf numFmtId="0" fontId="15" fillId="0" borderId="16" xfId="0" applyFont="1" applyFill="1" applyBorder="1" applyAlignment="1" applyProtection="1">
      <alignment horizontal="center" vertical="center"/>
      <protection hidden="1"/>
    </xf>
    <xf numFmtId="0" fontId="1" fillId="5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2" fillId="0" borderId="18" xfId="0" applyFont="1" applyBorder="1">
      <alignment vertical="center"/>
    </xf>
    <xf numFmtId="177" fontId="2" fillId="0" borderId="16" xfId="8" applyNumberFormat="1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18" fillId="7" borderId="20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5" fillId="0" borderId="1" xfId="0" applyFont="1" applyFill="1" applyBorder="1" applyAlignment="1" applyProtection="1">
      <alignment horizontal="center" vertical="center"/>
      <protection hidden="1"/>
    </xf>
    <xf numFmtId="0" fontId="15" fillId="0" borderId="2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  <protection hidden="1"/>
    </xf>
    <xf numFmtId="0" fontId="17" fillId="0" borderId="16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7" fillId="0" borderId="8" xfId="0" applyFont="1" applyBorder="1">
      <alignment vertical="center"/>
    </xf>
    <xf numFmtId="0" fontId="17" fillId="0" borderId="9" xfId="0" applyFont="1" applyBorder="1">
      <alignment vertical="center"/>
    </xf>
    <xf numFmtId="0" fontId="17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8" borderId="0" xfId="0" applyFont="1" applyFill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千位分隔 2" xfId="50"/>
  </cellStyles>
  <tableStyles count="0" defaultTableStyle="TableStyleMedium2" defaultPivotStyle="PivotStyleLight16"/>
  <colors>
    <mruColors>
      <color rgb="00D9F5F2"/>
      <color rgb="00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7754;&#27915;&#24935;\&#30446;&#24405;\&#20250;&#35745;\&#23454;&#20363;&#25991;&#20214;\&#31532;5&#31456;\&#26368;&#32456;&#25991;&#20214;\&#39046;&#26009;&#213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7754;&#27915;&#24935;\&#30446;&#24405;\&#20250;&#35745;\&#23454;&#20363;&#25991;&#20214;\&#31532;5&#31456;\&#26368;&#32456;&#25991;&#20214;\&#26448;&#26009;&#36827;&#20986;&#24211;&#26376;&#25253;&#34920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供应商名册"/>
      <sheetName val="材料名册"/>
      <sheetName val="部门"/>
      <sheetName val="领料单"/>
    </sheetNames>
    <sheetDataSet>
      <sheetData sheetId="0"/>
      <sheetData sheetId="1"/>
      <sheetData sheetId="2">
        <row r="1">
          <cell r="A1" t="str">
            <v>部门编码</v>
          </cell>
          <cell r="B1" t="str">
            <v>部门名称</v>
          </cell>
        </row>
        <row r="2">
          <cell r="A2" t="str">
            <v>bm001</v>
          </cell>
          <cell r="B2" t="str">
            <v>一车间</v>
          </cell>
        </row>
        <row r="3">
          <cell r="A3" t="str">
            <v>bm002</v>
          </cell>
          <cell r="B3" t="str">
            <v>二车间</v>
          </cell>
        </row>
        <row r="4">
          <cell r="A4" t="str">
            <v>bm003</v>
          </cell>
          <cell r="B4" t="str">
            <v>三车间</v>
          </cell>
        </row>
        <row r="5">
          <cell r="A5" t="str">
            <v>bm004</v>
          </cell>
          <cell r="B5" t="str">
            <v>四车间</v>
          </cell>
        </row>
        <row r="6">
          <cell r="A6" t="str">
            <v>bm005</v>
          </cell>
          <cell r="B6" t="str">
            <v>五车间</v>
          </cell>
        </row>
        <row r="7">
          <cell r="A7" t="str">
            <v>bm006</v>
          </cell>
          <cell r="B7" t="str">
            <v>维修部</v>
          </cell>
        </row>
        <row r="8">
          <cell r="A8" t="str">
            <v>bm007</v>
          </cell>
          <cell r="B8" t="str">
            <v>综合部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上月余额"/>
      <sheetName val="材料入库明细表"/>
      <sheetName val="领料单"/>
      <sheetName val="材料进出存月报表"/>
    </sheetNames>
    <sheetDataSet>
      <sheetData sheetId="0">
        <row r="1">
          <cell r="A1" t="str">
            <v>材料编码</v>
          </cell>
          <cell r="B1" t="str">
            <v>材料类别</v>
          </cell>
          <cell r="C1" t="str">
            <v>规格型号</v>
          </cell>
          <cell r="D1" t="str">
            <v>单位</v>
          </cell>
          <cell r="E1" t="str">
            <v>单价</v>
          </cell>
          <cell r="F1" t="str">
            <v>库存数</v>
          </cell>
        </row>
        <row r="2">
          <cell r="A2" t="str">
            <v>DZ0001</v>
          </cell>
          <cell r="B2" t="str">
            <v>电阻</v>
          </cell>
          <cell r="C2" t="str">
            <v>25Ω</v>
          </cell>
          <cell r="D2" t="str">
            <v>支</v>
          </cell>
          <cell r="E2">
            <v>0.25</v>
          </cell>
          <cell r="F2">
            <v>500</v>
          </cell>
        </row>
        <row r="3">
          <cell r="A3" t="str">
            <v>DZ0002</v>
          </cell>
          <cell r="B3" t="str">
            <v>电阻</v>
          </cell>
          <cell r="C3" t="str">
            <v>32Ω</v>
          </cell>
          <cell r="D3" t="str">
            <v>支</v>
          </cell>
          <cell r="E3">
            <v>0.33</v>
          </cell>
          <cell r="F3">
            <v>10000</v>
          </cell>
        </row>
        <row r="4">
          <cell r="A4" t="str">
            <v>DZ0003</v>
          </cell>
          <cell r="B4" t="str">
            <v>电阻</v>
          </cell>
          <cell r="C4" t="str">
            <v>100Ω</v>
          </cell>
          <cell r="D4" t="str">
            <v>支</v>
          </cell>
          <cell r="E4">
            <v>0.58</v>
          </cell>
          <cell r="F4">
            <v>820</v>
          </cell>
        </row>
        <row r="5">
          <cell r="A5" t="str">
            <v>DZ0004</v>
          </cell>
          <cell r="B5" t="str">
            <v>电阻</v>
          </cell>
          <cell r="C5" t="str">
            <v>320Ω</v>
          </cell>
          <cell r="D5" t="str">
            <v>支</v>
          </cell>
          <cell r="E5">
            <v>0.89</v>
          </cell>
          <cell r="F5">
            <v>1580</v>
          </cell>
        </row>
        <row r="6">
          <cell r="A6" t="str">
            <v>DZ0005</v>
          </cell>
          <cell r="B6" t="str">
            <v>电阻</v>
          </cell>
          <cell r="C6" t="str">
            <v>29Ω</v>
          </cell>
          <cell r="D6" t="str">
            <v>支</v>
          </cell>
          <cell r="E6">
            <v>0.21</v>
          </cell>
          <cell r="F6">
            <v>700</v>
          </cell>
        </row>
        <row r="7">
          <cell r="A7" t="str">
            <v>DZ0006</v>
          </cell>
          <cell r="B7" t="str">
            <v>电阻</v>
          </cell>
          <cell r="C7" t="str">
            <v>30Ω</v>
          </cell>
          <cell r="D7" t="str">
            <v>支</v>
          </cell>
          <cell r="E7">
            <v>0.36</v>
          </cell>
          <cell r="F7">
            <v>980</v>
          </cell>
        </row>
        <row r="8">
          <cell r="A8" t="str">
            <v>DR0001</v>
          </cell>
          <cell r="B8" t="str">
            <v>电容</v>
          </cell>
          <cell r="C8" t="str">
            <v>10F</v>
          </cell>
          <cell r="D8" t="str">
            <v>支</v>
          </cell>
          <cell r="E8">
            <v>0.78</v>
          </cell>
          <cell r="F8">
            <v>700</v>
          </cell>
        </row>
        <row r="9">
          <cell r="A9" t="str">
            <v>DR0002</v>
          </cell>
          <cell r="B9" t="str">
            <v>电容</v>
          </cell>
          <cell r="C9" t="str">
            <v>18F</v>
          </cell>
          <cell r="D9" t="str">
            <v>支</v>
          </cell>
          <cell r="E9">
            <v>0.65</v>
          </cell>
          <cell r="F9">
            <v>850</v>
          </cell>
        </row>
        <row r="10">
          <cell r="A10" t="str">
            <v>DR0003</v>
          </cell>
          <cell r="B10" t="str">
            <v>电容</v>
          </cell>
          <cell r="C10" t="str">
            <v>50F</v>
          </cell>
          <cell r="D10" t="str">
            <v>支</v>
          </cell>
          <cell r="E10">
            <v>0.75</v>
          </cell>
          <cell r="F10">
            <v>456</v>
          </cell>
        </row>
        <row r="11">
          <cell r="A11" t="str">
            <v>DR0004</v>
          </cell>
          <cell r="B11" t="str">
            <v>电容</v>
          </cell>
          <cell r="C11" t="str">
            <v>100F</v>
          </cell>
          <cell r="D11" t="str">
            <v>支</v>
          </cell>
          <cell r="E11">
            <v>0.85</v>
          </cell>
          <cell r="F11">
            <v>1470</v>
          </cell>
        </row>
        <row r="12">
          <cell r="A12" t="str">
            <v>DR0005</v>
          </cell>
          <cell r="B12" t="str">
            <v>电容</v>
          </cell>
          <cell r="C12" t="str">
            <v>25F</v>
          </cell>
          <cell r="D12" t="str">
            <v>支</v>
          </cell>
          <cell r="E12">
            <v>0.9</v>
          </cell>
          <cell r="F12">
            <v>840</v>
          </cell>
        </row>
        <row r="13">
          <cell r="A13" t="str">
            <v>DR0006</v>
          </cell>
          <cell r="B13" t="str">
            <v>电容</v>
          </cell>
          <cell r="C13" t="str">
            <v>0.5F</v>
          </cell>
          <cell r="D13" t="str">
            <v>支</v>
          </cell>
          <cell r="E13">
            <v>0.55</v>
          </cell>
          <cell r="F13">
            <v>521</v>
          </cell>
        </row>
        <row r="14">
          <cell r="A14" t="str">
            <v>JCK001</v>
          </cell>
          <cell r="B14" t="str">
            <v>集成块</v>
          </cell>
          <cell r="C14" t="str">
            <v>AEu8139</v>
          </cell>
          <cell r="D14" t="str">
            <v>支</v>
          </cell>
          <cell r="E14">
            <v>58.5</v>
          </cell>
          <cell r="F14">
            <v>146</v>
          </cell>
        </row>
        <row r="15">
          <cell r="A15" t="str">
            <v>JCK002</v>
          </cell>
          <cell r="B15" t="str">
            <v>集成块</v>
          </cell>
          <cell r="C15" t="str">
            <v>AEu8120</v>
          </cell>
          <cell r="D15" t="str">
            <v>支</v>
          </cell>
          <cell r="E15">
            <v>75.6</v>
          </cell>
          <cell r="F15">
            <v>300</v>
          </cell>
        </row>
        <row r="16">
          <cell r="A16" t="str">
            <v>JCK003</v>
          </cell>
          <cell r="B16" t="str">
            <v>集成块</v>
          </cell>
          <cell r="C16" t="str">
            <v>AEu8141</v>
          </cell>
          <cell r="D16" t="str">
            <v>支</v>
          </cell>
          <cell r="E16">
            <v>124.85</v>
          </cell>
          <cell r="F16">
            <v>452</v>
          </cell>
        </row>
        <row r="17">
          <cell r="A17" t="str">
            <v>JCK004</v>
          </cell>
          <cell r="B17" t="str">
            <v>集成块</v>
          </cell>
          <cell r="C17" t="str">
            <v>AEu8152</v>
          </cell>
          <cell r="D17" t="str">
            <v>支</v>
          </cell>
          <cell r="E17">
            <v>320</v>
          </cell>
          <cell r="F17">
            <v>125</v>
          </cell>
        </row>
        <row r="18">
          <cell r="A18" t="str">
            <v>JCK005</v>
          </cell>
          <cell r="B18" t="str">
            <v>集成块</v>
          </cell>
          <cell r="C18" t="str">
            <v>AEu8143</v>
          </cell>
          <cell r="D18" t="str">
            <v>支</v>
          </cell>
          <cell r="E18">
            <v>70</v>
          </cell>
          <cell r="F18">
            <v>41</v>
          </cell>
        </row>
        <row r="19">
          <cell r="A19" t="str">
            <v>JCK006</v>
          </cell>
          <cell r="B19" t="str">
            <v>集成块</v>
          </cell>
          <cell r="C19" t="str">
            <v>AEu9144</v>
          </cell>
          <cell r="D19" t="str">
            <v>支</v>
          </cell>
          <cell r="E19">
            <v>185</v>
          </cell>
          <cell r="F19">
            <v>50</v>
          </cell>
        </row>
        <row r="20">
          <cell r="A20" t="str">
            <v>JCK007</v>
          </cell>
          <cell r="B20" t="str">
            <v>集成块</v>
          </cell>
          <cell r="C20" t="str">
            <v>AEu8145</v>
          </cell>
          <cell r="D20" t="str">
            <v>支</v>
          </cell>
          <cell r="E20">
            <v>412.5</v>
          </cell>
          <cell r="F20">
            <v>18</v>
          </cell>
        </row>
      </sheetData>
      <sheetData sheetId="1"/>
      <sheetData sheetId="2">
        <row r="5">
          <cell r="F5" t="str">
            <v>DZ0001</v>
          </cell>
        </row>
        <row r="5">
          <cell r="K5">
            <v>5000</v>
          </cell>
        </row>
        <row r="6">
          <cell r="F6" t="str">
            <v>DZ0002</v>
          </cell>
        </row>
        <row r="6">
          <cell r="K6">
            <v>7500</v>
          </cell>
        </row>
        <row r="7">
          <cell r="F7" t="str">
            <v>DZ0003</v>
          </cell>
        </row>
        <row r="7">
          <cell r="K7">
            <v>800</v>
          </cell>
        </row>
        <row r="8">
          <cell r="F8" t="str">
            <v>DZ0004</v>
          </cell>
        </row>
        <row r="8">
          <cell r="K8">
            <v>1200</v>
          </cell>
        </row>
        <row r="9">
          <cell r="F9" t="str">
            <v>DZ0005</v>
          </cell>
        </row>
        <row r="9">
          <cell r="K9">
            <v>500</v>
          </cell>
        </row>
        <row r="10">
          <cell r="F10" t="str">
            <v>DZ0006</v>
          </cell>
        </row>
        <row r="10">
          <cell r="K10">
            <v>300</v>
          </cell>
        </row>
        <row r="11">
          <cell r="F11" t="str">
            <v>DR0001</v>
          </cell>
        </row>
        <row r="11">
          <cell r="K11">
            <v>200</v>
          </cell>
        </row>
        <row r="12">
          <cell r="F12" t="str">
            <v>DR0002</v>
          </cell>
        </row>
        <row r="12">
          <cell r="K12">
            <v>100</v>
          </cell>
        </row>
        <row r="13">
          <cell r="F13" t="str">
            <v>DR0003</v>
          </cell>
        </row>
        <row r="13">
          <cell r="K13">
            <v>520</v>
          </cell>
        </row>
        <row r="14">
          <cell r="F14" t="str">
            <v>DR0004</v>
          </cell>
        </row>
        <row r="14">
          <cell r="K14">
            <v>620</v>
          </cell>
        </row>
        <row r="15">
          <cell r="F15" t="str">
            <v>DR0005</v>
          </cell>
        </row>
        <row r="15">
          <cell r="K15">
            <v>400</v>
          </cell>
        </row>
        <row r="16">
          <cell r="F16" t="str">
            <v>DR0006</v>
          </cell>
        </row>
        <row r="16">
          <cell r="K16">
            <v>500</v>
          </cell>
        </row>
        <row r="17">
          <cell r="F17" t="str">
            <v>JCK001</v>
          </cell>
        </row>
        <row r="17">
          <cell r="K17">
            <v>300</v>
          </cell>
        </row>
        <row r="18">
          <cell r="F18" t="str">
            <v>JCK002</v>
          </cell>
        </row>
        <row r="18">
          <cell r="K18">
            <v>200</v>
          </cell>
        </row>
        <row r="19">
          <cell r="F19" t="str">
            <v>JCK003</v>
          </cell>
        </row>
        <row r="19">
          <cell r="K19">
            <v>200</v>
          </cell>
        </row>
        <row r="20">
          <cell r="F20" t="str">
            <v>JCK004</v>
          </cell>
        </row>
        <row r="20">
          <cell r="K20">
            <v>50</v>
          </cell>
        </row>
        <row r="21">
          <cell r="F21" t="str">
            <v>JCK005</v>
          </cell>
        </row>
        <row r="21">
          <cell r="K21">
            <v>15</v>
          </cell>
        </row>
        <row r="22">
          <cell r="F22" t="str">
            <v>JCK006</v>
          </cell>
        </row>
        <row r="22">
          <cell r="K22">
            <v>20</v>
          </cell>
        </row>
        <row r="23">
          <cell r="F23" t="str">
            <v>JCK007</v>
          </cell>
        </row>
        <row r="23">
          <cell r="K23">
            <v>66</v>
          </cell>
        </row>
        <row r="24">
          <cell r="F24" t="str">
            <v>DZ0001</v>
          </cell>
        </row>
        <row r="24">
          <cell r="K24">
            <v>200</v>
          </cell>
        </row>
        <row r="25">
          <cell r="F25" t="str">
            <v>DZ0002</v>
          </cell>
        </row>
        <row r="25">
          <cell r="K25">
            <v>300</v>
          </cell>
        </row>
        <row r="26">
          <cell r="F26" t="str">
            <v>DZ0003</v>
          </cell>
        </row>
        <row r="26">
          <cell r="K26">
            <v>40</v>
          </cell>
        </row>
        <row r="27">
          <cell r="F27" t="str">
            <v>DZ0004</v>
          </cell>
        </row>
        <row r="27">
          <cell r="K27">
            <v>80</v>
          </cell>
        </row>
        <row r="28">
          <cell r="F28" t="str">
            <v>DZ0005</v>
          </cell>
        </row>
        <row r="28">
          <cell r="K28">
            <v>95</v>
          </cell>
        </row>
        <row r="29">
          <cell r="F29" t="str">
            <v>DZ0006</v>
          </cell>
        </row>
        <row r="29">
          <cell r="K29">
            <v>20</v>
          </cell>
        </row>
        <row r="30">
          <cell r="F30" t="str">
            <v>DR0001</v>
          </cell>
        </row>
        <row r="30">
          <cell r="K30">
            <v>10</v>
          </cell>
        </row>
        <row r="31">
          <cell r="F31" t="str">
            <v>DR0002</v>
          </cell>
        </row>
        <row r="31">
          <cell r="K31">
            <v>20</v>
          </cell>
        </row>
        <row r="32">
          <cell r="F32" t="str">
            <v>DR0003</v>
          </cell>
        </row>
        <row r="32">
          <cell r="K32">
            <v>14</v>
          </cell>
        </row>
        <row r="33">
          <cell r="F33" t="str">
            <v>DR0004</v>
          </cell>
        </row>
        <row r="33">
          <cell r="K33">
            <v>253</v>
          </cell>
        </row>
        <row r="34">
          <cell r="F34" t="str">
            <v>DR0005</v>
          </cell>
        </row>
        <row r="34">
          <cell r="K34">
            <v>241</v>
          </cell>
        </row>
        <row r="35">
          <cell r="F35" t="str">
            <v>DR0006</v>
          </cell>
        </row>
        <row r="35">
          <cell r="K35">
            <v>263</v>
          </cell>
        </row>
        <row r="36">
          <cell r="F36" t="str">
            <v>JCK001</v>
          </cell>
        </row>
        <row r="36">
          <cell r="K36">
            <v>55</v>
          </cell>
        </row>
        <row r="37">
          <cell r="F37" t="str">
            <v>JCK002</v>
          </cell>
        </row>
        <row r="37">
          <cell r="K37">
            <v>78</v>
          </cell>
        </row>
        <row r="38">
          <cell r="F38" t="str">
            <v>JCK003</v>
          </cell>
        </row>
        <row r="38">
          <cell r="K38">
            <v>98</v>
          </cell>
        </row>
        <row r="39">
          <cell r="F39" t="str">
            <v>JCK004</v>
          </cell>
        </row>
        <row r="39">
          <cell r="K39">
            <v>56</v>
          </cell>
        </row>
        <row r="40">
          <cell r="F40" t="str">
            <v>JCK005</v>
          </cell>
        </row>
        <row r="40">
          <cell r="K40">
            <v>25</v>
          </cell>
        </row>
        <row r="41">
          <cell r="F41" t="str">
            <v>JCK006</v>
          </cell>
        </row>
        <row r="41">
          <cell r="K41">
            <v>45</v>
          </cell>
        </row>
        <row r="42">
          <cell r="F42" t="str">
            <v>JCK007</v>
          </cell>
        </row>
        <row r="42">
          <cell r="K42">
            <v>65</v>
          </cell>
        </row>
        <row r="43">
          <cell r="F43" t="str">
            <v>DZ0001</v>
          </cell>
        </row>
        <row r="43">
          <cell r="K43">
            <v>78</v>
          </cell>
        </row>
        <row r="44">
          <cell r="F44" t="str">
            <v>DZ0002</v>
          </cell>
        </row>
        <row r="44">
          <cell r="K44">
            <v>52</v>
          </cell>
        </row>
        <row r="45">
          <cell r="F45" t="str">
            <v>DZ0003</v>
          </cell>
        </row>
        <row r="45">
          <cell r="K45">
            <v>52</v>
          </cell>
        </row>
        <row r="46">
          <cell r="F46" t="str">
            <v>DZ0004</v>
          </cell>
        </row>
        <row r="46">
          <cell r="K46">
            <v>10</v>
          </cell>
        </row>
        <row r="47">
          <cell r="F47" t="str">
            <v>DZ0001</v>
          </cell>
        </row>
        <row r="47">
          <cell r="K47">
            <v>55</v>
          </cell>
        </row>
        <row r="48">
          <cell r="F48" t="str">
            <v>DZ0002</v>
          </cell>
        </row>
        <row r="48">
          <cell r="K48">
            <v>12</v>
          </cell>
        </row>
        <row r="49">
          <cell r="F49" t="str">
            <v>DZ0003</v>
          </cell>
        </row>
        <row r="49">
          <cell r="K49">
            <v>10</v>
          </cell>
        </row>
      </sheetData>
      <sheetData sheetId="3">
        <row r="25">
          <cell r="B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C3" sqref="C3:C21"/>
    </sheetView>
  </sheetViews>
  <sheetFormatPr defaultColWidth="9" defaultRowHeight="14" outlineLevelCol="6"/>
  <cols>
    <col min="1" max="1" width="12.6272727272727" customWidth="1"/>
    <col min="2" max="2" width="11.2545454545455" customWidth="1"/>
    <col min="3" max="3" width="10.5" customWidth="1"/>
    <col min="4" max="4" width="10.2545454545455" customWidth="1"/>
    <col min="5" max="5" width="10.5" customWidth="1"/>
    <col min="6" max="6" width="9.75454545454545" customWidth="1"/>
  </cols>
  <sheetData>
    <row r="1" ht="36.75" customHeight="1" spans="1:7">
      <c r="A1" s="80" t="s">
        <v>0</v>
      </c>
      <c r="B1" s="80"/>
      <c r="C1" s="80"/>
      <c r="D1" s="80"/>
      <c r="E1" s="80"/>
      <c r="F1" s="80"/>
      <c r="G1" s="80"/>
    </row>
    <row r="2" ht="21" customHeight="1" spans="1:7">
      <c r="A2" s="81" t="s">
        <v>1</v>
      </c>
      <c r="B2" s="81" t="s">
        <v>2</v>
      </c>
      <c r="C2" s="81" t="s">
        <v>3</v>
      </c>
      <c r="D2" s="81" t="s">
        <v>4</v>
      </c>
      <c r="E2" s="81" t="s">
        <v>5</v>
      </c>
      <c r="F2" s="81" t="s">
        <v>6</v>
      </c>
      <c r="G2" s="81" t="s">
        <v>7</v>
      </c>
    </row>
    <row r="3" spans="1:7">
      <c r="A3" s="82" t="s">
        <v>8</v>
      </c>
      <c r="B3" s="82" t="s">
        <v>9</v>
      </c>
      <c r="C3" s="83" t="s">
        <v>10</v>
      </c>
      <c r="D3" s="83" t="s">
        <v>11</v>
      </c>
      <c r="E3" s="83" t="s">
        <v>12</v>
      </c>
      <c r="F3" s="83" t="s">
        <v>13</v>
      </c>
      <c r="G3" s="83">
        <v>0.25</v>
      </c>
    </row>
    <row r="4" spans="1:7">
      <c r="A4" s="82" t="s">
        <v>14</v>
      </c>
      <c r="B4" s="82" t="s">
        <v>9</v>
      </c>
      <c r="C4" s="83" t="s">
        <v>15</v>
      </c>
      <c r="D4" s="83" t="s">
        <v>11</v>
      </c>
      <c r="E4" s="83" t="s">
        <v>16</v>
      </c>
      <c r="F4" s="83" t="s">
        <v>13</v>
      </c>
      <c r="G4" s="83">
        <v>0.33</v>
      </c>
    </row>
    <row r="5" spans="1:7">
      <c r="A5" s="83" t="s">
        <v>17</v>
      </c>
      <c r="B5" s="83" t="s">
        <v>18</v>
      </c>
      <c r="C5" s="83" t="s">
        <v>19</v>
      </c>
      <c r="D5" s="83" t="s">
        <v>11</v>
      </c>
      <c r="E5" s="83" t="s">
        <v>20</v>
      </c>
      <c r="F5" s="83" t="s">
        <v>13</v>
      </c>
      <c r="G5" s="83">
        <v>0.58</v>
      </c>
    </row>
    <row r="6" spans="1:7">
      <c r="A6" s="83" t="s">
        <v>21</v>
      </c>
      <c r="B6" s="83" t="s">
        <v>22</v>
      </c>
      <c r="C6" s="83" t="s">
        <v>23</v>
      </c>
      <c r="D6" s="83" t="s">
        <v>11</v>
      </c>
      <c r="E6" s="83" t="s">
        <v>24</v>
      </c>
      <c r="F6" s="83" t="s">
        <v>13</v>
      </c>
      <c r="G6" s="83">
        <v>0.89</v>
      </c>
    </row>
    <row r="7" spans="1:7">
      <c r="A7" s="82" t="s">
        <v>25</v>
      </c>
      <c r="B7" s="82" t="s">
        <v>26</v>
      </c>
      <c r="C7" s="83" t="s">
        <v>27</v>
      </c>
      <c r="D7" s="83" t="s">
        <v>11</v>
      </c>
      <c r="E7" s="83" t="s">
        <v>28</v>
      </c>
      <c r="F7" s="83" t="s">
        <v>13</v>
      </c>
      <c r="G7" s="83">
        <v>0.21</v>
      </c>
    </row>
    <row r="8" spans="1:7">
      <c r="A8" s="82" t="s">
        <v>29</v>
      </c>
      <c r="B8" s="82" t="s">
        <v>26</v>
      </c>
      <c r="C8" s="83" t="s">
        <v>30</v>
      </c>
      <c r="D8" s="83" t="s">
        <v>11</v>
      </c>
      <c r="E8" s="83" t="s">
        <v>31</v>
      </c>
      <c r="F8" s="83" t="s">
        <v>13</v>
      </c>
      <c r="G8" s="83">
        <v>0.36</v>
      </c>
    </row>
    <row r="9" spans="1:7">
      <c r="A9" s="83" t="s">
        <v>32</v>
      </c>
      <c r="B9" s="83" t="s">
        <v>33</v>
      </c>
      <c r="C9" s="83" t="s">
        <v>34</v>
      </c>
      <c r="D9" s="83" t="s">
        <v>35</v>
      </c>
      <c r="E9" s="83" t="s">
        <v>36</v>
      </c>
      <c r="F9" s="83" t="s">
        <v>13</v>
      </c>
      <c r="G9" s="83">
        <v>0.78</v>
      </c>
    </row>
    <row r="10" spans="1:7">
      <c r="A10" s="83" t="s">
        <v>37</v>
      </c>
      <c r="B10" s="83" t="s">
        <v>38</v>
      </c>
      <c r="C10" s="83" t="s">
        <v>39</v>
      </c>
      <c r="D10" s="83" t="s">
        <v>35</v>
      </c>
      <c r="E10" s="83" t="s">
        <v>40</v>
      </c>
      <c r="F10" s="83" t="s">
        <v>13</v>
      </c>
      <c r="G10" s="83">
        <v>0.65</v>
      </c>
    </row>
    <row r="11" spans="1:7">
      <c r="A11" s="83" t="s">
        <v>41</v>
      </c>
      <c r="B11" s="83" t="s">
        <v>42</v>
      </c>
      <c r="C11" s="83" t="s">
        <v>43</v>
      </c>
      <c r="D11" s="83" t="s">
        <v>35</v>
      </c>
      <c r="E11" s="83" t="s">
        <v>44</v>
      </c>
      <c r="F11" s="83" t="s">
        <v>13</v>
      </c>
      <c r="G11" s="83">
        <v>0.75</v>
      </c>
    </row>
    <row r="12" spans="1:7">
      <c r="A12" s="82" t="s">
        <v>45</v>
      </c>
      <c r="B12" s="82" t="s">
        <v>46</v>
      </c>
      <c r="C12" s="83" t="s">
        <v>47</v>
      </c>
      <c r="D12" s="83" t="s">
        <v>35</v>
      </c>
      <c r="E12" s="83" t="s">
        <v>48</v>
      </c>
      <c r="F12" s="83" t="s">
        <v>13</v>
      </c>
      <c r="G12" s="83">
        <v>0.85</v>
      </c>
    </row>
    <row r="13" spans="1:7">
      <c r="A13" s="82" t="s">
        <v>49</v>
      </c>
      <c r="B13" s="82" t="s">
        <v>46</v>
      </c>
      <c r="C13" s="83" t="s">
        <v>50</v>
      </c>
      <c r="D13" s="83" t="s">
        <v>35</v>
      </c>
      <c r="E13" s="83" t="s">
        <v>51</v>
      </c>
      <c r="F13" s="83" t="s">
        <v>13</v>
      </c>
      <c r="G13" s="83">
        <v>0.9</v>
      </c>
    </row>
    <row r="14" spans="1:7">
      <c r="A14" s="83" t="s">
        <v>52</v>
      </c>
      <c r="B14" s="83" t="s">
        <v>53</v>
      </c>
      <c r="C14" s="83" t="s">
        <v>54</v>
      </c>
      <c r="D14" s="83" t="s">
        <v>35</v>
      </c>
      <c r="E14" s="83" t="s">
        <v>55</v>
      </c>
      <c r="F14" s="83" t="s">
        <v>13</v>
      </c>
      <c r="G14" s="83">
        <v>0.55</v>
      </c>
    </row>
    <row r="15" spans="1:7">
      <c r="A15" s="83" t="s">
        <v>56</v>
      </c>
      <c r="B15" s="83" t="s">
        <v>57</v>
      </c>
      <c r="C15" s="83" t="s">
        <v>58</v>
      </c>
      <c r="D15" s="83" t="s">
        <v>59</v>
      </c>
      <c r="E15" s="83" t="s">
        <v>60</v>
      </c>
      <c r="F15" s="83" t="s">
        <v>13</v>
      </c>
      <c r="G15" s="83">
        <v>58.5</v>
      </c>
    </row>
    <row r="16" spans="1:7">
      <c r="A16" s="83" t="s">
        <v>61</v>
      </c>
      <c r="B16" s="83" t="s">
        <v>62</v>
      </c>
      <c r="C16" s="83" t="s">
        <v>63</v>
      </c>
      <c r="D16" s="83" t="s">
        <v>59</v>
      </c>
      <c r="E16" s="83" t="s">
        <v>64</v>
      </c>
      <c r="F16" s="83" t="s">
        <v>13</v>
      </c>
      <c r="G16" s="83">
        <v>75.6</v>
      </c>
    </row>
    <row r="17" spans="1:7">
      <c r="A17" s="83" t="s">
        <v>65</v>
      </c>
      <c r="B17" s="83" t="s">
        <v>66</v>
      </c>
      <c r="C17" s="83" t="s">
        <v>67</v>
      </c>
      <c r="D17" s="83" t="s">
        <v>59</v>
      </c>
      <c r="E17" s="83" t="s">
        <v>68</v>
      </c>
      <c r="F17" s="83" t="s">
        <v>13</v>
      </c>
      <c r="G17" s="83">
        <v>124.85</v>
      </c>
    </row>
    <row r="18" spans="1:7">
      <c r="A18" s="83" t="s">
        <v>69</v>
      </c>
      <c r="B18" s="83" t="s">
        <v>70</v>
      </c>
      <c r="C18" s="83" t="s">
        <v>71</v>
      </c>
      <c r="D18" s="83" t="s">
        <v>59</v>
      </c>
      <c r="E18" s="83" t="s">
        <v>72</v>
      </c>
      <c r="F18" s="83" t="s">
        <v>13</v>
      </c>
      <c r="G18" s="83">
        <v>320</v>
      </c>
    </row>
    <row r="19" spans="1:7">
      <c r="A19" s="83" t="s">
        <v>73</v>
      </c>
      <c r="B19" s="83" t="s">
        <v>74</v>
      </c>
      <c r="C19" s="83" t="s">
        <v>75</v>
      </c>
      <c r="D19" s="83" t="s">
        <v>59</v>
      </c>
      <c r="E19" s="83" t="s">
        <v>76</v>
      </c>
      <c r="F19" s="83" t="s">
        <v>13</v>
      </c>
      <c r="G19" s="83">
        <v>70</v>
      </c>
    </row>
    <row r="20" spans="1:7">
      <c r="A20" s="83" t="s">
        <v>77</v>
      </c>
      <c r="B20" s="83" t="s">
        <v>78</v>
      </c>
      <c r="C20" s="83" t="s">
        <v>79</v>
      </c>
      <c r="D20" s="83" t="s">
        <v>59</v>
      </c>
      <c r="E20" s="83" t="s">
        <v>80</v>
      </c>
      <c r="F20" s="83" t="s">
        <v>13</v>
      </c>
      <c r="G20" s="83">
        <v>185</v>
      </c>
    </row>
    <row r="21" spans="1:7">
      <c r="A21" s="83" t="s">
        <v>81</v>
      </c>
      <c r="B21" s="83" t="s">
        <v>82</v>
      </c>
      <c r="C21" s="83" t="s">
        <v>83</v>
      </c>
      <c r="D21" s="83" t="s">
        <v>59</v>
      </c>
      <c r="E21" s="83" t="s">
        <v>84</v>
      </c>
      <c r="F21" s="83" t="s">
        <v>13</v>
      </c>
      <c r="G21" s="83">
        <v>412.5</v>
      </c>
    </row>
  </sheetData>
  <mergeCells count="1">
    <mergeCell ref="A1:G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91"/>
  <sheetViews>
    <sheetView zoomScale="90" zoomScaleNormal="90" topLeftCell="A61" workbookViewId="0">
      <selection activeCell="F72" sqref="F72:F83"/>
    </sheetView>
  </sheetViews>
  <sheetFormatPr defaultColWidth="9" defaultRowHeight="14"/>
  <cols>
    <col min="1" max="1" width="3.5" style="59" customWidth="1"/>
    <col min="2" max="2" width="7.37272727272727" style="59" customWidth="1"/>
    <col min="3" max="3" width="4.87272727272727" style="59" customWidth="1"/>
    <col min="4" max="4" width="13.7545454545455" style="60" customWidth="1"/>
    <col min="5" max="5" width="12.8727272727273" style="59" customWidth="1"/>
    <col min="6" max="6" width="16.3727272727273" style="59" customWidth="1"/>
    <col min="7" max="7" width="9.25454545454545" style="59" customWidth="1"/>
    <col min="8" max="8" width="8.37272727272727" style="59" customWidth="1"/>
    <col min="9" max="9" width="9.25454545454545" style="59" customWidth="1"/>
    <col min="10" max="10" width="5.5" style="59" customWidth="1"/>
    <col min="11" max="11" width="9.62727272727273" style="59" customWidth="1"/>
    <col min="12" max="12" width="10.2545454545455" style="59" customWidth="1"/>
    <col min="13" max="13" width="17.5" style="59" customWidth="1"/>
    <col min="14" max="16384" width="9" style="59"/>
  </cols>
  <sheetData>
    <row r="1" ht="39.75" customHeight="1" spans="2:13">
      <c r="B1" s="61" t="s">
        <v>85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71"/>
    </row>
    <row r="2" ht="24.75" customHeight="1" spans="2:13">
      <c r="B2" s="63"/>
      <c r="M2" s="60"/>
    </row>
    <row r="3" s="57" customFormat="1" ht="21.75" customHeight="1" spans="2:13">
      <c r="B3" s="64" t="s">
        <v>86</v>
      </c>
      <c r="C3" s="65" t="s">
        <v>87</v>
      </c>
      <c r="D3" s="65" t="s">
        <v>88</v>
      </c>
      <c r="E3" s="65" t="s">
        <v>89</v>
      </c>
      <c r="F3" s="65" t="s">
        <v>90</v>
      </c>
      <c r="G3" s="65" t="s">
        <v>3</v>
      </c>
      <c r="H3" s="65" t="s">
        <v>91</v>
      </c>
      <c r="I3" s="65" t="s">
        <v>5</v>
      </c>
      <c r="J3" s="65" t="s">
        <v>6</v>
      </c>
      <c r="K3" s="65" t="s">
        <v>92</v>
      </c>
      <c r="L3" s="65" t="s">
        <v>7</v>
      </c>
      <c r="M3" s="72" t="s">
        <v>93</v>
      </c>
    </row>
    <row r="4" s="58" customFormat="1" spans="2:13">
      <c r="B4" s="66">
        <v>6</v>
      </c>
      <c r="C4" s="67">
        <v>5</v>
      </c>
      <c r="D4" s="68" t="s">
        <v>45</v>
      </c>
      <c r="E4" s="67" t="str">
        <f>VLOOKUP(D4,基础数据表!A:G,2,FALSE)</f>
        <v>海域电子</v>
      </c>
      <c r="F4" s="67"/>
      <c r="G4" s="67" t="str">
        <f>VLOOKUP(D4,基础数据表!A:G,3,FALSE)</f>
        <v>DR0004</v>
      </c>
      <c r="H4" s="67" t="str">
        <f>VLOOKUP(D4,基础数据表!A:G,4,FALSE)</f>
        <v>电容</v>
      </c>
      <c r="I4" s="67" t="str">
        <f>VLOOKUP(D4,基础数据表!A:G,5,FALSE)</f>
        <v>100F</v>
      </c>
      <c r="J4" s="67" t="str">
        <f>VLOOKUP(D4,基础数据表!A:G,6,FALSE)</f>
        <v>支</v>
      </c>
      <c r="K4" s="73">
        <v>100</v>
      </c>
      <c r="L4" s="67">
        <f>VLOOKUP(D4,基础数据表!A:G,7,FALSE)</f>
        <v>0.85</v>
      </c>
      <c r="M4" s="74">
        <f t="shared" ref="M4:M35" si="0">K4*L4</f>
        <v>85</v>
      </c>
    </row>
    <row r="5" s="58" customFormat="1" spans="2:13">
      <c r="B5" s="66">
        <v>6</v>
      </c>
      <c r="C5" s="67">
        <v>5</v>
      </c>
      <c r="D5" s="69" t="s">
        <v>49</v>
      </c>
      <c r="E5" s="67" t="str">
        <f>VLOOKUP(D5,基础数据表!A:G,2,FALSE)</f>
        <v>海域电子</v>
      </c>
      <c r="F5" s="67"/>
      <c r="G5" s="67" t="str">
        <f>VLOOKUP(D5,基础数据表!A:G,3,FALSE)</f>
        <v>DR0005</v>
      </c>
      <c r="H5" s="67" t="str">
        <f>VLOOKUP(D5,基础数据表!A:G,4,FALSE)</f>
        <v>电容</v>
      </c>
      <c r="I5" s="67" t="str">
        <f>VLOOKUP(D5,基础数据表!A:G,5,FALSE)</f>
        <v>25F</v>
      </c>
      <c r="J5" s="67" t="str">
        <f>VLOOKUP(D5,基础数据表!A:G,6,FALSE)</f>
        <v>支</v>
      </c>
      <c r="K5" s="73">
        <v>752</v>
      </c>
      <c r="L5" s="67">
        <f>VLOOKUP(D5,基础数据表!A:G,7,FALSE)</f>
        <v>0.9</v>
      </c>
      <c r="M5" s="74">
        <f t="shared" si="0"/>
        <v>676.8</v>
      </c>
    </row>
    <row r="6" s="58" customFormat="1" spans="2:13">
      <c r="B6" s="66">
        <v>6</v>
      </c>
      <c r="C6" s="67">
        <v>6</v>
      </c>
      <c r="D6" s="69" t="s">
        <v>45</v>
      </c>
      <c r="E6" s="67" t="str">
        <f>VLOOKUP(D6,基础数据表!A:G,2,FALSE)</f>
        <v>海域电子</v>
      </c>
      <c r="F6" s="67"/>
      <c r="G6" s="67" t="str">
        <f>VLOOKUP(D6,基础数据表!A:G,3,FALSE)</f>
        <v>DR0004</v>
      </c>
      <c r="H6" s="67" t="str">
        <f>VLOOKUP(D6,基础数据表!A:G,4,FALSE)</f>
        <v>电容</v>
      </c>
      <c r="I6" s="67" t="str">
        <f>VLOOKUP(D6,基础数据表!A:G,5,FALSE)</f>
        <v>100F</v>
      </c>
      <c r="J6" s="67" t="str">
        <f>VLOOKUP(D6,基础数据表!A:G,6,FALSE)</f>
        <v>支</v>
      </c>
      <c r="K6" s="73">
        <v>800</v>
      </c>
      <c r="L6" s="67">
        <f>VLOOKUP(D6,基础数据表!A:G,7,FALSE)</f>
        <v>0.85</v>
      </c>
      <c r="M6" s="74">
        <f t="shared" si="0"/>
        <v>680</v>
      </c>
    </row>
    <row r="7" s="58" customFormat="1" spans="2:13">
      <c r="B7" s="66">
        <v>6</v>
      </c>
      <c r="C7" s="67">
        <v>7</v>
      </c>
      <c r="D7" s="69" t="s">
        <v>52</v>
      </c>
      <c r="E7" s="67" t="str">
        <f>VLOOKUP(D7,基础数据表!A:G,2,FALSE)</f>
        <v>创维科技</v>
      </c>
      <c r="F7" s="67"/>
      <c r="G7" s="67" t="str">
        <f>VLOOKUP(D7,基础数据表!A:G,3,FALSE)</f>
        <v>DR0006</v>
      </c>
      <c r="H7" s="67" t="str">
        <f>VLOOKUP(D7,基础数据表!A:G,4,FALSE)</f>
        <v>电容</v>
      </c>
      <c r="I7" s="67" t="str">
        <f>VLOOKUP(D7,基础数据表!A:G,5,FALSE)</f>
        <v>0.5F</v>
      </c>
      <c r="J7" s="67" t="str">
        <f>VLOOKUP(D7,基础数据表!A:G,6,FALSE)</f>
        <v>支</v>
      </c>
      <c r="K7" s="73">
        <v>100</v>
      </c>
      <c r="L7" s="67">
        <f>VLOOKUP(D7,基础数据表!A:G,7,FALSE)</f>
        <v>0.55</v>
      </c>
      <c r="M7" s="74">
        <f t="shared" si="0"/>
        <v>55</v>
      </c>
    </row>
    <row r="8" s="58" customFormat="1" spans="2:13">
      <c r="B8" s="66">
        <v>6</v>
      </c>
      <c r="C8" s="70">
        <v>10</v>
      </c>
      <c r="D8" s="69" t="s">
        <v>56</v>
      </c>
      <c r="E8" s="67" t="str">
        <f>VLOOKUP(D8,基础数据表!A:G,2,FALSE)</f>
        <v>宏图三胞</v>
      </c>
      <c r="F8" s="67"/>
      <c r="G8" s="67" t="str">
        <f>VLOOKUP(D8,基础数据表!A:G,3,FALSE)</f>
        <v>JCK001</v>
      </c>
      <c r="H8" s="67" t="str">
        <f>VLOOKUP(D8,基础数据表!A:G,4,FALSE)</f>
        <v>集成块</v>
      </c>
      <c r="I8" s="67" t="str">
        <f>VLOOKUP(D8,基础数据表!A:G,5,FALSE)</f>
        <v>AEu8139</v>
      </c>
      <c r="J8" s="67" t="str">
        <f>VLOOKUP(D8,基础数据表!A:G,6,FALSE)</f>
        <v>支</v>
      </c>
      <c r="K8" s="69">
        <v>20000</v>
      </c>
      <c r="L8" s="67">
        <f>VLOOKUP(D8,基础数据表!A:G,7,FALSE)</f>
        <v>58.5</v>
      </c>
      <c r="M8" s="74">
        <f t="shared" si="0"/>
        <v>1170000</v>
      </c>
    </row>
    <row r="9" s="58" customFormat="1" spans="2:13">
      <c r="B9" s="66">
        <v>6</v>
      </c>
      <c r="C9" s="70">
        <v>15</v>
      </c>
      <c r="D9" s="69" t="s">
        <v>49</v>
      </c>
      <c r="E9" s="67" t="str">
        <f>VLOOKUP(D9,基础数据表!A:G,2,FALSE)</f>
        <v>海域电子</v>
      </c>
      <c r="F9" s="67"/>
      <c r="G9" s="67" t="str">
        <f>VLOOKUP(D9,基础数据表!A:G,3,FALSE)</f>
        <v>DR0005</v>
      </c>
      <c r="H9" s="67" t="str">
        <f>VLOOKUP(D9,基础数据表!A:G,4,FALSE)</f>
        <v>电容</v>
      </c>
      <c r="I9" s="67" t="str">
        <f>VLOOKUP(D9,基础数据表!A:G,5,FALSE)</f>
        <v>25F</v>
      </c>
      <c r="J9" s="67" t="str">
        <f>VLOOKUP(D9,基础数据表!A:G,6,FALSE)</f>
        <v>支</v>
      </c>
      <c r="K9" s="69">
        <v>600</v>
      </c>
      <c r="L9" s="67">
        <f>VLOOKUP(D9,基础数据表!A:G,7,FALSE)</f>
        <v>0.9</v>
      </c>
      <c r="M9" s="74">
        <f t="shared" si="0"/>
        <v>540</v>
      </c>
    </row>
    <row r="10" s="58" customFormat="1" spans="2:13">
      <c r="B10" s="66">
        <v>6</v>
      </c>
      <c r="C10" s="70">
        <v>22</v>
      </c>
      <c r="D10" s="69" t="s">
        <v>45</v>
      </c>
      <c r="E10" s="67" t="str">
        <f>VLOOKUP(D10,基础数据表!A:G,2,FALSE)</f>
        <v>海域电子</v>
      </c>
      <c r="F10" s="67"/>
      <c r="G10" s="67" t="str">
        <f>VLOOKUP(D10,基础数据表!A:G,3,FALSE)</f>
        <v>DR0004</v>
      </c>
      <c r="H10" s="67" t="str">
        <f>VLOOKUP(D10,基础数据表!A:G,4,FALSE)</f>
        <v>电容</v>
      </c>
      <c r="I10" s="67" t="str">
        <f>VLOOKUP(D10,基础数据表!A:G,5,FALSE)</f>
        <v>100F</v>
      </c>
      <c r="J10" s="67" t="str">
        <f>VLOOKUP(D10,基础数据表!A:G,6,FALSE)</f>
        <v>支</v>
      </c>
      <c r="K10" s="73">
        <v>320</v>
      </c>
      <c r="L10" s="67">
        <f>VLOOKUP(D10,基础数据表!A:G,7,FALSE)</f>
        <v>0.85</v>
      </c>
      <c r="M10" s="74">
        <f t="shared" si="0"/>
        <v>272</v>
      </c>
    </row>
    <row r="11" s="58" customFormat="1" spans="2:13">
      <c r="B11" s="66">
        <v>6</v>
      </c>
      <c r="C11" s="70">
        <v>23</v>
      </c>
      <c r="D11" s="69" t="s">
        <v>49</v>
      </c>
      <c r="E11" s="67" t="str">
        <f>VLOOKUP(D11,基础数据表!A:G,2,FALSE)</f>
        <v>海域电子</v>
      </c>
      <c r="F11" s="67"/>
      <c r="G11" s="67" t="str">
        <f>VLOOKUP(D11,基础数据表!A:G,3,FALSE)</f>
        <v>DR0005</v>
      </c>
      <c r="H11" s="67" t="str">
        <f>VLOOKUP(D11,基础数据表!A:G,4,FALSE)</f>
        <v>电容</v>
      </c>
      <c r="I11" s="67" t="str">
        <f>VLOOKUP(D11,基础数据表!A:G,5,FALSE)</f>
        <v>25F</v>
      </c>
      <c r="J11" s="67" t="str">
        <f>VLOOKUP(D11,基础数据表!A:G,6,FALSE)</f>
        <v>支</v>
      </c>
      <c r="K11" s="73">
        <v>410</v>
      </c>
      <c r="L11" s="67">
        <f>VLOOKUP(D11,基础数据表!A:G,7,FALSE)</f>
        <v>0.9</v>
      </c>
      <c r="M11" s="74">
        <f t="shared" si="0"/>
        <v>369</v>
      </c>
    </row>
    <row r="12" s="58" customFormat="1" spans="2:13">
      <c r="B12" s="66">
        <v>6</v>
      </c>
      <c r="C12" s="70">
        <v>25</v>
      </c>
      <c r="D12" s="69" t="s">
        <v>45</v>
      </c>
      <c r="E12" s="67" t="str">
        <f>VLOOKUP(D12,基础数据表!A:G,2,FALSE)</f>
        <v>海域电子</v>
      </c>
      <c r="F12" s="67"/>
      <c r="G12" s="67" t="str">
        <f>VLOOKUP(D12,基础数据表!A:G,3,FALSE)</f>
        <v>DR0004</v>
      </c>
      <c r="H12" s="67" t="str">
        <f>VLOOKUP(D12,基础数据表!A:G,4,FALSE)</f>
        <v>电容</v>
      </c>
      <c r="I12" s="67" t="str">
        <f>VLOOKUP(D12,基础数据表!A:G,5,FALSE)</f>
        <v>100F</v>
      </c>
      <c r="J12" s="67" t="str">
        <f>VLOOKUP(D12,基础数据表!A:G,6,FALSE)</f>
        <v>支</v>
      </c>
      <c r="K12" s="73">
        <v>500</v>
      </c>
      <c r="L12" s="67">
        <f>VLOOKUP(D12,基础数据表!A:G,7,FALSE)</f>
        <v>0.85</v>
      </c>
      <c r="M12" s="74">
        <f t="shared" si="0"/>
        <v>425</v>
      </c>
    </row>
    <row r="13" s="58" customFormat="1" spans="2:13">
      <c r="B13" s="66">
        <v>6</v>
      </c>
      <c r="C13" s="67">
        <v>1</v>
      </c>
      <c r="D13" s="69" t="s">
        <v>41</v>
      </c>
      <c r="E13" s="67" t="str">
        <f>VLOOKUP(D13,基础数据表!A:G,2,FALSE)</f>
        <v>华声集团</v>
      </c>
      <c r="F13" s="67"/>
      <c r="G13" s="67" t="str">
        <f>VLOOKUP(D13,基础数据表!A:G,3,FALSE)</f>
        <v>DR0003</v>
      </c>
      <c r="H13" s="67" t="str">
        <f>VLOOKUP(D13,基础数据表!A:G,4,FALSE)</f>
        <v>电容</v>
      </c>
      <c r="I13" s="67" t="str">
        <f>VLOOKUP(D13,基础数据表!A:G,5,FALSE)</f>
        <v>50F</v>
      </c>
      <c r="J13" s="67" t="str">
        <f>VLOOKUP(D13,基础数据表!A:G,6,FALSE)</f>
        <v>支</v>
      </c>
      <c r="K13" s="73">
        <v>782</v>
      </c>
      <c r="L13" s="67">
        <f>VLOOKUP(D13,基础数据表!A:G,7,FALSE)</f>
        <v>0.75</v>
      </c>
      <c r="M13" s="74">
        <f t="shared" si="0"/>
        <v>586.5</v>
      </c>
    </row>
    <row r="14" s="58" customFormat="1" spans="2:13">
      <c r="B14" s="66">
        <v>6</v>
      </c>
      <c r="C14" s="67">
        <v>3</v>
      </c>
      <c r="D14" s="69" t="s">
        <v>41</v>
      </c>
      <c r="E14" s="67" t="str">
        <f>VLOOKUP(D14,基础数据表!A:G,2,FALSE)</f>
        <v>华声集团</v>
      </c>
      <c r="F14" s="67"/>
      <c r="G14" s="67" t="str">
        <f>VLOOKUP(D14,基础数据表!A:G,3,FALSE)</f>
        <v>DR0003</v>
      </c>
      <c r="H14" s="67" t="str">
        <f>VLOOKUP(D14,基础数据表!A:G,4,FALSE)</f>
        <v>电容</v>
      </c>
      <c r="I14" s="67" t="str">
        <f>VLOOKUP(D14,基础数据表!A:G,5,FALSE)</f>
        <v>50F</v>
      </c>
      <c r="J14" s="67" t="str">
        <f>VLOOKUP(D14,基础数据表!A:G,6,FALSE)</f>
        <v>支</v>
      </c>
      <c r="K14" s="73">
        <v>100</v>
      </c>
      <c r="L14" s="67">
        <f>VLOOKUP(D14,基础数据表!A:G,7,FALSE)</f>
        <v>0.75</v>
      </c>
      <c r="M14" s="74">
        <f t="shared" si="0"/>
        <v>75</v>
      </c>
    </row>
    <row r="15" s="58" customFormat="1" spans="2:13">
      <c r="B15" s="66">
        <v>6</v>
      </c>
      <c r="C15" s="67">
        <v>5</v>
      </c>
      <c r="D15" s="69" t="s">
        <v>41</v>
      </c>
      <c r="E15" s="67" t="str">
        <f>VLOOKUP(D15,基础数据表!A:G,2,FALSE)</f>
        <v>华声集团</v>
      </c>
      <c r="F15" s="67"/>
      <c r="G15" s="67" t="str">
        <f>VLOOKUP(D15,基础数据表!A:G,3,FALSE)</f>
        <v>DR0003</v>
      </c>
      <c r="H15" s="67" t="str">
        <f>VLOOKUP(D15,基础数据表!A:G,4,FALSE)</f>
        <v>电容</v>
      </c>
      <c r="I15" s="67" t="str">
        <f>VLOOKUP(D15,基础数据表!A:G,5,FALSE)</f>
        <v>50F</v>
      </c>
      <c r="J15" s="67" t="str">
        <f>VLOOKUP(D15,基础数据表!A:G,6,FALSE)</f>
        <v>支</v>
      </c>
      <c r="K15" s="73">
        <v>200</v>
      </c>
      <c r="L15" s="67">
        <f>VLOOKUP(D15,基础数据表!A:G,7,FALSE)</f>
        <v>0.75</v>
      </c>
      <c r="M15" s="74">
        <f t="shared" si="0"/>
        <v>150</v>
      </c>
    </row>
    <row r="16" s="58" customFormat="1" spans="2:13">
      <c r="B16" s="66">
        <v>6</v>
      </c>
      <c r="C16" s="67">
        <v>7</v>
      </c>
      <c r="D16" s="69" t="s">
        <v>41</v>
      </c>
      <c r="E16" s="67" t="str">
        <f>VLOOKUP(D16,基础数据表!A:G,2,FALSE)</f>
        <v>华声集团</v>
      </c>
      <c r="F16" s="67"/>
      <c r="G16" s="67" t="str">
        <f>VLOOKUP(D16,基础数据表!A:G,3,FALSE)</f>
        <v>DR0003</v>
      </c>
      <c r="H16" s="67" t="str">
        <f>VLOOKUP(D16,基础数据表!A:G,4,FALSE)</f>
        <v>电容</v>
      </c>
      <c r="I16" s="67" t="str">
        <f>VLOOKUP(D16,基础数据表!A:G,5,FALSE)</f>
        <v>50F</v>
      </c>
      <c r="J16" s="67" t="str">
        <f>VLOOKUP(D16,基础数据表!A:G,6,FALSE)</f>
        <v>支</v>
      </c>
      <c r="K16" s="73">
        <v>451</v>
      </c>
      <c r="L16" s="67">
        <f>VLOOKUP(D16,基础数据表!A:G,7,FALSE)</f>
        <v>0.75</v>
      </c>
      <c r="M16" s="74">
        <f t="shared" si="0"/>
        <v>338.25</v>
      </c>
    </row>
    <row r="17" s="58" customFormat="1" spans="2:13">
      <c r="B17" s="66">
        <v>6</v>
      </c>
      <c r="C17" s="70">
        <v>11</v>
      </c>
      <c r="D17" s="69" t="s">
        <v>52</v>
      </c>
      <c r="E17" s="67" t="str">
        <f>VLOOKUP(D17,基础数据表!A:G,2,FALSE)</f>
        <v>创维科技</v>
      </c>
      <c r="F17" s="67"/>
      <c r="G17" s="67" t="str">
        <f>VLOOKUP(D17,基础数据表!A:G,3,FALSE)</f>
        <v>DR0006</v>
      </c>
      <c r="H17" s="67" t="str">
        <f>VLOOKUP(D17,基础数据表!A:G,4,FALSE)</f>
        <v>电容</v>
      </c>
      <c r="I17" s="67" t="str">
        <f>VLOOKUP(D17,基础数据表!A:G,5,FALSE)</f>
        <v>0.5F</v>
      </c>
      <c r="J17" s="67" t="str">
        <f>VLOOKUP(D17,基础数据表!A:G,6,FALSE)</f>
        <v>支</v>
      </c>
      <c r="K17" s="69">
        <v>5000</v>
      </c>
      <c r="L17" s="67">
        <f>VLOOKUP(D17,基础数据表!A:G,7,FALSE)</f>
        <v>0.55</v>
      </c>
      <c r="M17" s="74">
        <f t="shared" si="0"/>
        <v>2750</v>
      </c>
    </row>
    <row r="18" s="58" customFormat="1" spans="2:13">
      <c r="B18" s="66">
        <v>6</v>
      </c>
      <c r="C18" s="70">
        <v>15</v>
      </c>
      <c r="D18" s="69" t="s">
        <v>32</v>
      </c>
      <c r="E18" s="67" t="str">
        <f>VLOOKUP(D18,基础数据表!A:G,2,FALSE)</f>
        <v>盛华</v>
      </c>
      <c r="F18" s="67"/>
      <c r="G18" s="67" t="str">
        <f>VLOOKUP(D18,基础数据表!A:G,3,FALSE)</f>
        <v>DR0001</v>
      </c>
      <c r="H18" s="67" t="str">
        <f>VLOOKUP(D18,基础数据表!A:G,4,FALSE)</f>
        <v>电容</v>
      </c>
      <c r="I18" s="67" t="str">
        <f>VLOOKUP(D18,基础数据表!A:G,5,FALSE)</f>
        <v>10F</v>
      </c>
      <c r="J18" s="67" t="str">
        <f>VLOOKUP(D18,基础数据表!A:G,6,FALSE)</f>
        <v>支</v>
      </c>
      <c r="K18" s="69">
        <v>4500</v>
      </c>
      <c r="L18" s="67">
        <f>VLOOKUP(D18,基础数据表!A:G,7,FALSE)</f>
        <v>0.78</v>
      </c>
      <c r="M18" s="74">
        <f t="shared" si="0"/>
        <v>3510</v>
      </c>
    </row>
    <row r="19" s="58" customFormat="1" spans="2:13">
      <c r="B19" s="66">
        <v>6</v>
      </c>
      <c r="C19" s="70">
        <v>20</v>
      </c>
      <c r="D19" s="69" t="s">
        <v>32</v>
      </c>
      <c r="E19" s="67" t="str">
        <f>VLOOKUP(D19,基础数据表!A:G,2,FALSE)</f>
        <v>盛华</v>
      </c>
      <c r="F19" s="67"/>
      <c r="G19" s="67" t="str">
        <f>VLOOKUP(D19,基础数据表!A:G,3,FALSE)</f>
        <v>DR0001</v>
      </c>
      <c r="H19" s="67" t="str">
        <f>VLOOKUP(D19,基础数据表!A:G,4,FALSE)</f>
        <v>电容</v>
      </c>
      <c r="I19" s="67" t="str">
        <f>VLOOKUP(D19,基础数据表!A:G,5,FALSE)</f>
        <v>10F</v>
      </c>
      <c r="J19" s="67" t="str">
        <f>VLOOKUP(D19,基础数据表!A:G,6,FALSE)</f>
        <v>支</v>
      </c>
      <c r="K19" s="73">
        <v>520</v>
      </c>
      <c r="L19" s="67">
        <f>VLOOKUP(D19,基础数据表!A:G,7,FALSE)</f>
        <v>0.78</v>
      </c>
      <c r="M19" s="74">
        <f t="shared" si="0"/>
        <v>405.6</v>
      </c>
    </row>
    <row r="20" s="58" customFormat="1" spans="2:13">
      <c r="B20" s="66">
        <v>6</v>
      </c>
      <c r="C20" s="70">
        <v>25</v>
      </c>
      <c r="D20" s="69" t="s">
        <v>32</v>
      </c>
      <c r="E20" s="67" t="str">
        <f>VLOOKUP(D20,基础数据表!A:G,2,FALSE)</f>
        <v>盛华</v>
      </c>
      <c r="F20" s="67"/>
      <c r="G20" s="67" t="str">
        <f>VLOOKUP(D20,基础数据表!A:G,3,FALSE)</f>
        <v>DR0001</v>
      </c>
      <c r="H20" s="67" t="str">
        <f>VLOOKUP(D20,基础数据表!A:G,4,FALSE)</f>
        <v>电容</v>
      </c>
      <c r="I20" s="67" t="str">
        <f>VLOOKUP(D20,基础数据表!A:G,5,FALSE)</f>
        <v>10F</v>
      </c>
      <c r="J20" s="67" t="str">
        <f>VLOOKUP(D20,基础数据表!A:G,6,FALSE)</f>
        <v>支</v>
      </c>
      <c r="K20" s="73">
        <v>600</v>
      </c>
      <c r="L20" s="67">
        <f>VLOOKUP(D20,基础数据表!A:G,7,FALSE)</f>
        <v>0.78</v>
      </c>
      <c r="M20" s="74">
        <f t="shared" si="0"/>
        <v>468</v>
      </c>
    </row>
    <row r="21" s="58" customFormat="1" spans="2:13">
      <c r="B21" s="66">
        <v>6</v>
      </c>
      <c r="C21" s="70">
        <v>25</v>
      </c>
      <c r="D21" s="69" t="s">
        <v>32</v>
      </c>
      <c r="E21" s="67" t="str">
        <f>VLOOKUP(D21,基础数据表!A:G,2,FALSE)</f>
        <v>盛华</v>
      </c>
      <c r="F21" s="67"/>
      <c r="G21" s="67" t="str">
        <f>VLOOKUP(D21,基础数据表!A:G,3,FALSE)</f>
        <v>DR0001</v>
      </c>
      <c r="H21" s="67" t="str">
        <f>VLOOKUP(D21,基础数据表!A:G,4,FALSE)</f>
        <v>电容</v>
      </c>
      <c r="I21" s="67" t="str">
        <f>VLOOKUP(D21,基础数据表!A:G,5,FALSE)</f>
        <v>10F</v>
      </c>
      <c r="J21" s="67" t="str">
        <f>VLOOKUP(D21,基础数据表!A:G,6,FALSE)</f>
        <v>支</v>
      </c>
      <c r="K21" s="73">
        <v>400</v>
      </c>
      <c r="L21" s="67">
        <f>VLOOKUP(D21,基础数据表!A:G,7,FALSE)</f>
        <v>0.78</v>
      </c>
      <c r="M21" s="74">
        <f t="shared" si="0"/>
        <v>312</v>
      </c>
    </row>
    <row r="22" s="58" customFormat="1" spans="2:13">
      <c r="B22" s="66">
        <v>6</v>
      </c>
      <c r="C22" s="70">
        <v>27</v>
      </c>
      <c r="D22" s="69" t="s">
        <v>32</v>
      </c>
      <c r="E22" s="67" t="str">
        <f>VLOOKUP(D22,基础数据表!A:G,2,FALSE)</f>
        <v>盛华</v>
      </c>
      <c r="F22" s="67"/>
      <c r="G22" s="67" t="str">
        <f>VLOOKUP(D22,基础数据表!A:G,3,FALSE)</f>
        <v>DR0001</v>
      </c>
      <c r="H22" s="67" t="str">
        <f>VLOOKUP(D22,基础数据表!A:G,4,FALSE)</f>
        <v>电容</v>
      </c>
      <c r="I22" s="67" t="str">
        <f>VLOOKUP(D22,基础数据表!A:G,5,FALSE)</f>
        <v>10F</v>
      </c>
      <c r="J22" s="67" t="str">
        <f>VLOOKUP(D22,基础数据表!A:G,6,FALSE)</f>
        <v>支</v>
      </c>
      <c r="K22" s="73">
        <v>100</v>
      </c>
      <c r="L22" s="67">
        <f>VLOOKUP(D22,基础数据表!A:G,7,FALSE)</f>
        <v>0.78</v>
      </c>
      <c r="M22" s="74">
        <f t="shared" si="0"/>
        <v>78</v>
      </c>
    </row>
    <row r="23" s="58" customFormat="1" spans="2:13">
      <c r="B23" s="66">
        <v>6</v>
      </c>
      <c r="C23" s="70">
        <v>15</v>
      </c>
      <c r="D23" s="69" t="s">
        <v>52</v>
      </c>
      <c r="E23" s="67" t="str">
        <f>VLOOKUP(D23,基础数据表!A:G,2,FALSE)</f>
        <v>创维科技</v>
      </c>
      <c r="F23" s="67"/>
      <c r="G23" s="67" t="str">
        <f>VLOOKUP(D23,基础数据表!A:G,3,FALSE)</f>
        <v>DR0006</v>
      </c>
      <c r="H23" s="67" t="str">
        <f>VLOOKUP(D23,基础数据表!A:G,4,FALSE)</f>
        <v>电容</v>
      </c>
      <c r="I23" s="67" t="str">
        <f>VLOOKUP(D23,基础数据表!A:G,5,FALSE)</f>
        <v>0.5F</v>
      </c>
      <c r="J23" s="67" t="str">
        <f>VLOOKUP(D23,基础数据表!A:G,6,FALSE)</f>
        <v>支</v>
      </c>
      <c r="K23" s="69">
        <v>850</v>
      </c>
      <c r="L23" s="67">
        <f>VLOOKUP(D23,基础数据表!A:G,7,FALSE)</f>
        <v>0.55</v>
      </c>
      <c r="M23" s="74">
        <f t="shared" si="0"/>
        <v>467.5</v>
      </c>
    </row>
    <row r="24" spans="2:13">
      <c r="B24" s="66">
        <v>6</v>
      </c>
      <c r="C24" s="70">
        <v>24</v>
      </c>
      <c r="D24" s="69" t="s">
        <v>52</v>
      </c>
      <c r="E24" s="67" t="str">
        <f>VLOOKUP(D24,基础数据表!A:G,2,FALSE)</f>
        <v>创维科技</v>
      </c>
      <c r="F24" s="67"/>
      <c r="G24" s="67" t="str">
        <f>VLOOKUP(D24,基础数据表!A:G,3,FALSE)</f>
        <v>DR0006</v>
      </c>
      <c r="H24" s="67" t="str">
        <f>VLOOKUP(D24,基础数据表!A:G,4,FALSE)</f>
        <v>电容</v>
      </c>
      <c r="I24" s="67" t="str">
        <f>VLOOKUP(D24,基础数据表!A:G,5,FALSE)</f>
        <v>0.5F</v>
      </c>
      <c r="J24" s="67" t="str">
        <f>VLOOKUP(D24,基础数据表!A:G,6,FALSE)</f>
        <v>支</v>
      </c>
      <c r="K24" s="73">
        <v>200</v>
      </c>
      <c r="L24" s="67">
        <f>VLOOKUP(D24,基础数据表!A:G,7,FALSE)</f>
        <v>0.55</v>
      </c>
      <c r="M24" s="74">
        <f t="shared" si="0"/>
        <v>110</v>
      </c>
    </row>
    <row r="25" spans="2:13">
      <c r="B25" s="66">
        <v>6</v>
      </c>
      <c r="C25" s="67">
        <v>3</v>
      </c>
      <c r="D25" s="69" t="s">
        <v>37</v>
      </c>
      <c r="E25" s="67" t="str">
        <f>VLOOKUP(D25,基础数据表!A:G,2,FALSE)</f>
        <v>恒杰电子</v>
      </c>
      <c r="F25" s="67"/>
      <c r="G25" s="67" t="str">
        <f>VLOOKUP(D25,基础数据表!A:G,3,FALSE)</f>
        <v>DR0002</v>
      </c>
      <c r="H25" s="67" t="str">
        <f>VLOOKUP(D25,基础数据表!A:G,4,FALSE)</f>
        <v>电容</v>
      </c>
      <c r="I25" s="67" t="str">
        <f>VLOOKUP(D25,基础数据表!A:G,5,FALSE)</f>
        <v>18F</v>
      </c>
      <c r="J25" s="67" t="str">
        <f>VLOOKUP(D25,基础数据表!A:G,6,FALSE)</f>
        <v>支</v>
      </c>
      <c r="K25" s="73">
        <v>100</v>
      </c>
      <c r="L25" s="67">
        <f>VLOOKUP(D25,基础数据表!A:G,7,FALSE)</f>
        <v>0.65</v>
      </c>
      <c r="M25" s="74">
        <f t="shared" si="0"/>
        <v>65</v>
      </c>
    </row>
    <row r="26" spans="2:13">
      <c r="B26" s="66">
        <v>6</v>
      </c>
      <c r="C26" s="67">
        <v>5</v>
      </c>
      <c r="D26" s="69" t="s">
        <v>37</v>
      </c>
      <c r="E26" s="67" t="str">
        <f>VLOOKUP(D26,基础数据表!A:G,2,FALSE)</f>
        <v>恒杰电子</v>
      </c>
      <c r="F26" s="67"/>
      <c r="G26" s="67" t="str">
        <f>VLOOKUP(D26,基础数据表!A:G,3,FALSE)</f>
        <v>DR0002</v>
      </c>
      <c r="H26" s="67" t="str">
        <f>VLOOKUP(D26,基础数据表!A:G,4,FALSE)</f>
        <v>电容</v>
      </c>
      <c r="I26" s="67" t="str">
        <f>VLOOKUP(D26,基础数据表!A:G,5,FALSE)</f>
        <v>18F</v>
      </c>
      <c r="J26" s="67" t="str">
        <f>VLOOKUP(D26,基础数据表!A:G,6,FALSE)</f>
        <v>支</v>
      </c>
      <c r="K26" s="73">
        <v>710</v>
      </c>
      <c r="L26" s="67">
        <f>VLOOKUP(D26,基础数据表!A:G,7,FALSE)</f>
        <v>0.65</v>
      </c>
      <c r="M26" s="74">
        <f t="shared" si="0"/>
        <v>461.5</v>
      </c>
    </row>
    <row r="27" spans="2:13">
      <c r="B27" s="66">
        <v>6</v>
      </c>
      <c r="C27" s="67">
        <v>7</v>
      </c>
      <c r="D27" s="69" t="s">
        <v>37</v>
      </c>
      <c r="E27" s="67" t="str">
        <f>VLOOKUP(D27,基础数据表!A:G,2,FALSE)</f>
        <v>恒杰电子</v>
      </c>
      <c r="F27" s="67"/>
      <c r="G27" s="67" t="str">
        <f>VLOOKUP(D27,基础数据表!A:G,3,FALSE)</f>
        <v>DR0002</v>
      </c>
      <c r="H27" s="67" t="str">
        <f>VLOOKUP(D27,基础数据表!A:G,4,FALSE)</f>
        <v>电容</v>
      </c>
      <c r="I27" s="67" t="str">
        <f>VLOOKUP(D27,基础数据表!A:G,5,FALSE)</f>
        <v>18F</v>
      </c>
      <c r="J27" s="67" t="str">
        <f>VLOOKUP(D27,基础数据表!A:G,6,FALSE)</f>
        <v>支</v>
      </c>
      <c r="K27" s="73">
        <v>200</v>
      </c>
      <c r="L27" s="67">
        <f>VLOOKUP(D27,基础数据表!A:G,7,FALSE)</f>
        <v>0.65</v>
      </c>
      <c r="M27" s="74">
        <f t="shared" si="0"/>
        <v>130</v>
      </c>
    </row>
    <row r="28" spans="2:13">
      <c r="B28" s="66">
        <v>6</v>
      </c>
      <c r="C28" s="67">
        <v>7</v>
      </c>
      <c r="D28" s="69" t="s">
        <v>37</v>
      </c>
      <c r="E28" s="67" t="str">
        <f>VLOOKUP(D28,基础数据表!A:G,2,FALSE)</f>
        <v>恒杰电子</v>
      </c>
      <c r="F28" s="67"/>
      <c r="G28" s="67" t="str">
        <f>VLOOKUP(D28,基础数据表!A:G,3,FALSE)</f>
        <v>DR0002</v>
      </c>
      <c r="H28" s="67" t="str">
        <f>VLOOKUP(D28,基础数据表!A:G,4,FALSE)</f>
        <v>电容</v>
      </c>
      <c r="I28" s="67" t="str">
        <f>VLOOKUP(D28,基础数据表!A:G,5,FALSE)</f>
        <v>18F</v>
      </c>
      <c r="J28" s="67" t="str">
        <f>VLOOKUP(D28,基础数据表!A:G,6,FALSE)</f>
        <v>支</v>
      </c>
      <c r="K28" s="73">
        <v>600</v>
      </c>
      <c r="L28" s="67">
        <f>VLOOKUP(D28,基础数据表!A:G,7,FALSE)</f>
        <v>0.65</v>
      </c>
      <c r="M28" s="74">
        <f t="shared" si="0"/>
        <v>390</v>
      </c>
    </row>
    <row r="29" spans="2:13">
      <c r="B29" s="66">
        <v>6</v>
      </c>
      <c r="C29" s="67">
        <v>8</v>
      </c>
      <c r="D29" s="69" t="s">
        <v>49</v>
      </c>
      <c r="E29" s="67" t="str">
        <f>VLOOKUP(D29,基础数据表!A:G,2,FALSE)</f>
        <v>海域电子</v>
      </c>
      <c r="F29" s="67"/>
      <c r="G29" s="67" t="str">
        <f>VLOOKUP(D29,基础数据表!A:G,3,FALSE)</f>
        <v>DR0005</v>
      </c>
      <c r="H29" s="67" t="str">
        <f>VLOOKUP(D29,基础数据表!A:G,4,FALSE)</f>
        <v>电容</v>
      </c>
      <c r="I29" s="67" t="str">
        <f>VLOOKUP(D29,基础数据表!A:G,5,FALSE)</f>
        <v>25F</v>
      </c>
      <c r="J29" s="67" t="str">
        <f>VLOOKUP(D29,基础数据表!A:G,6,FALSE)</f>
        <v>支</v>
      </c>
      <c r="K29" s="73">
        <v>100</v>
      </c>
      <c r="L29" s="67">
        <f>VLOOKUP(D29,基础数据表!A:G,7,FALSE)</f>
        <v>0.9</v>
      </c>
      <c r="M29" s="74">
        <f t="shared" si="0"/>
        <v>90</v>
      </c>
    </row>
    <row r="30" spans="2:13">
      <c r="B30" s="66">
        <v>6</v>
      </c>
      <c r="C30" s="67">
        <v>8</v>
      </c>
      <c r="D30" s="69" t="s">
        <v>49</v>
      </c>
      <c r="E30" s="67" t="str">
        <f>VLOOKUP(D30,基础数据表!A:G,2,FALSE)</f>
        <v>海域电子</v>
      </c>
      <c r="F30" s="67"/>
      <c r="G30" s="67" t="str">
        <f>VLOOKUP(D30,基础数据表!A:G,3,FALSE)</f>
        <v>DR0005</v>
      </c>
      <c r="H30" s="67" t="str">
        <f>VLOOKUP(D30,基础数据表!A:G,4,FALSE)</f>
        <v>电容</v>
      </c>
      <c r="I30" s="67" t="str">
        <f>VLOOKUP(D30,基础数据表!A:G,5,FALSE)</f>
        <v>25F</v>
      </c>
      <c r="J30" s="67" t="str">
        <f>VLOOKUP(D30,基础数据表!A:G,6,FALSE)</f>
        <v>支</v>
      </c>
      <c r="K30" s="69">
        <v>5000</v>
      </c>
      <c r="L30" s="67">
        <f>VLOOKUP(D30,基础数据表!A:G,7,FALSE)</f>
        <v>0.9</v>
      </c>
      <c r="M30" s="74">
        <f t="shared" si="0"/>
        <v>4500</v>
      </c>
    </row>
    <row r="31" spans="2:13">
      <c r="B31" s="66">
        <v>6</v>
      </c>
      <c r="C31" s="67">
        <v>8</v>
      </c>
      <c r="D31" s="69" t="s">
        <v>49</v>
      </c>
      <c r="E31" s="67" t="str">
        <f>VLOOKUP(D31,基础数据表!A:G,2,FALSE)</f>
        <v>海域电子</v>
      </c>
      <c r="F31" s="67"/>
      <c r="G31" s="67" t="str">
        <f>VLOOKUP(D31,基础数据表!A:G,3,FALSE)</f>
        <v>DR0005</v>
      </c>
      <c r="H31" s="67" t="str">
        <f>VLOOKUP(D31,基础数据表!A:G,4,FALSE)</f>
        <v>电容</v>
      </c>
      <c r="I31" s="67" t="str">
        <f>VLOOKUP(D31,基础数据表!A:G,5,FALSE)</f>
        <v>25F</v>
      </c>
      <c r="J31" s="67" t="str">
        <f>VLOOKUP(D31,基础数据表!A:G,6,FALSE)</f>
        <v>支</v>
      </c>
      <c r="K31" s="69">
        <v>1500</v>
      </c>
      <c r="L31" s="67">
        <f>VLOOKUP(D31,基础数据表!A:G,7,FALSE)</f>
        <v>0.9</v>
      </c>
      <c r="M31" s="74">
        <f t="shared" si="0"/>
        <v>1350</v>
      </c>
    </row>
    <row r="32" spans="2:13">
      <c r="B32" s="66">
        <v>6</v>
      </c>
      <c r="C32" s="70">
        <v>10</v>
      </c>
      <c r="D32" s="69" t="s">
        <v>49</v>
      </c>
      <c r="E32" s="67" t="str">
        <f>VLOOKUP(D32,基础数据表!A:G,2,FALSE)</f>
        <v>海域电子</v>
      </c>
      <c r="F32" s="67"/>
      <c r="G32" s="67" t="str">
        <f>VLOOKUP(D32,基础数据表!A:G,3,FALSE)</f>
        <v>DR0005</v>
      </c>
      <c r="H32" s="67" t="str">
        <f>VLOOKUP(D32,基础数据表!A:G,4,FALSE)</f>
        <v>电容</v>
      </c>
      <c r="I32" s="67" t="str">
        <f>VLOOKUP(D32,基础数据表!A:G,5,FALSE)</f>
        <v>25F</v>
      </c>
      <c r="J32" s="67" t="str">
        <f>VLOOKUP(D32,基础数据表!A:G,6,FALSE)</f>
        <v>支</v>
      </c>
      <c r="K32" s="69">
        <v>5000</v>
      </c>
      <c r="L32" s="67">
        <f>VLOOKUP(D32,基础数据表!A:G,7,FALSE)</f>
        <v>0.9</v>
      </c>
      <c r="M32" s="74">
        <f t="shared" si="0"/>
        <v>4500</v>
      </c>
    </row>
    <row r="33" spans="2:13">
      <c r="B33" s="66">
        <v>6</v>
      </c>
      <c r="C33" s="70">
        <v>15</v>
      </c>
      <c r="D33" s="69" t="s">
        <v>61</v>
      </c>
      <c r="E33" s="67" t="str">
        <f>VLOOKUP(D33,基础数据表!A:G,2,FALSE)</f>
        <v>罗利亚</v>
      </c>
      <c r="F33" s="67"/>
      <c r="G33" s="67" t="str">
        <f>VLOOKUP(D33,基础数据表!A:G,3,FALSE)</f>
        <v>JCK002</v>
      </c>
      <c r="H33" s="67" t="str">
        <f>VLOOKUP(D33,基础数据表!A:G,4,FALSE)</f>
        <v>集成块</v>
      </c>
      <c r="I33" s="67" t="str">
        <f>VLOOKUP(D33,基础数据表!A:G,5,FALSE)</f>
        <v>AEu8120</v>
      </c>
      <c r="J33" s="67" t="str">
        <f>VLOOKUP(D33,基础数据表!A:G,6,FALSE)</f>
        <v>支</v>
      </c>
      <c r="K33" s="69">
        <v>7800</v>
      </c>
      <c r="L33" s="67">
        <f>VLOOKUP(D33,基础数据表!A:G,7,FALSE)</f>
        <v>75.6</v>
      </c>
      <c r="M33" s="74">
        <f t="shared" si="0"/>
        <v>589680</v>
      </c>
    </row>
    <row r="34" spans="2:13">
      <c r="B34" s="66">
        <v>6</v>
      </c>
      <c r="C34" s="70">
        <v>21</v>
      </c>
      <c r="D34" s="69" t="s">
        <v>61</v>
      </c>
      <c r="E34" s="67" t="str">
        <f>VLOOKUP(D34,基础数据表!A:G,2,FALSE)</f>
        <v>罗利亚</v>
      </c>
      <c r="F34" s="67"/>
      <c r="G34" s="67" t="str">
        <f>VLOOKUP(D34,基础数据表!A:G,3,FALSE)</f>
        <v>JCK002</v>
      </c>
      <c r="H34" s="67" t="str">
        <f>VLOOKUP(D34,基础数据表!A:G,4,FALSE)</f>
        <v>集成块</v>
      </c>
      <c r="I34" s="67" t="str">
        <f>VLOOKUP(D34,基础数据表!A:G,5,FALSE)</f>
        <v>AEu8120</v>
      </c>
      <c r="J34" s="67" t="str">
        <f>VLOOKUP(D34,基础数据表!A:G,6,FALSE)</f>
        <v>支</v>
      </c>
      <c r="K34" s="73">
        <v>560</v>
      </c>
      <c r="L34" s="67">
        <f>VLOOKUP(D34,基础数据表!A:G,7,FALSE)</f>
        <v>75.6</v>
      </c>
      <c r="M34" s="74">
        <f t="shared" si="0"/>
        <v>42336</v>
      </c>
    </row>
    <row r="35" spans="2:13">
      <c r="B35" s="66">
        <v>6</v>
      </c>
      <c r="C35" s="70">
        <v>27</v>
      </c>
      <c r="D35" s="69" t="s">
        <v>49</v>
      </c>
      <c r="E35" s="67" t="str">
        <f>VLOOKUP(D35,基础数据表!A:G,2,FALSE)</f>
        <v>海域电子</v>
      </c>
      <c r="F35" s="67"/>
      <c r="G35" s="67" t="str">
        <f>VLOOKUP(D35,基础数据表!A:G,3,FALSE)</f>
        <v>DR0005</v>
      </c>
      <c r="H35" s="67" t="str">
        <f>VLOOKUP(D35,基础数据表!A:G,4,FALSE)</f>
        <v>电容</v>
      </c>
      <c r="I35" s="67" t="str">
        <f>VLOOKUP(D35,基础数据表!A:G,5,FALSE)</f>
        <v>25F</v>
      </c>
      <c r="J35" s="67" t="str">
        <f>VLOOKUP(D35,基础数据表!A:G,6,FALSE)</f>
        <v>支</v>
      </c>
      <c r="K35" s="73">
        <v>200</v>
      </c>
      <c r="L35" s="67">
        <f>VLOOKUP(D35,基础数据表!A:G,7,FALSE)</f>
        <v>0.9</v>
      </c>
      <c r="M35" s="74">
        <f t="shared" si="0"/>
        <v>180</v>
      </c>
    </row>
    <row r="36" spans="2:13">
      <c r="B36" s="66">
        <v>6</v>
      </c>
      <c r="C36" s="67">
        <v>5</v>
      </c>
      <c r="D36" s="69" t="s">
        <v>73</v>
      </c>
      <c r="E36" s="67" t="str">
        <f>VLOOKUP(D36,基础数据表!A:G,2,FALSE)</f>
        <v>佳缘电器</v>
      </c>
      <c r="F36" s="67"/>
      <c r="G36" s="67" t="str">
        <f>VLOOKUP(D36,基础数据表!A:G,3,FALSE)</f>
        <v>JCK005</v>
      </c>
      <c r="H36" s="67" t="str">
        <f>VLOOKUP(D36,基础数据表!A:G,4,FALSE)</f>
        <v>集成块</v>
      </c>
      <c r="I36" s="67" t="str">
        <f>VLOOKUP(D36,基础数据表!A:G,5,FALSE)</f>
        <v>AEu8143</v>
      </c>
      <c r="J36" s="67" t="str">
        <f>VLOOKUP(D36,基础数据表!A:G,6,FALSE)</f>
        <v>支</v>
      </c>
      <c r="K36" s="73">
        <v>200</v>
      </c>
      <c r="L36" s="67">
        <f>VLOOKUP(D36,基础数据表!A:G,7,FALSE)</f>
        <v>70</v>
      </c>
      <c r="M36" s="74">
        <f t="shared" ref="M36:M67" si="1">K36*L36</f>
        <v>14000</v>
      </c>
    </row>
    <row r="37" spans="2:13">
      <c r="B37" s="66">
        <v>6</v>
      </c>
      <c r="C37" s="67">
        <v>6</v>
      </c>
      <c r="D37" s="69" t="s">
        <v>73</v>
      </c>
      <c r="E37" s="67" t="str">
        <f>VLOOKUP(D37,基础数据表!A:G,2,FALSE)</f>
        <v>佳缘电器</v>
      </c>
      <c r="F37" s="67"/>
      <c r="G37" s="67" t="str">
        <f>VLOOKUP(D37,基础数据表!A:G,3,FALSE)</f>
        <v>JCK005</v>
      </c>
      <c r="H37" s="67" t="str">
        <f>VLOOKUP(D37,基础数据表!A:G,4,FALSE)</f>
        <v>集成块</v>
      </c>
      <c r="I37" s="67" t="str">
        <f>VLOOKUP(D37,基础数据表!A:G,5,FALSE)</f>
        <v>AEu8143</v>
      </c>
      <c r="J37" s="67" t="str">
        <f>VLOOKUP(D37,基础数据表!A:G,6,FALSE)</f>
        <v>支</v>
      </c>
      <c r="K37" s="73">
        <v>520</v>
      </c>
      <c r="L37" s="67">
        <f>VLOOKUP(D37,基础数据表!A:G,7,FALSE)</f>
        <v>70</v>
      </c>
      <c r="M37" s="74">
        <f t="shared" si="1"/>
        <v>36400</v>
      </c>
    </row>
    <row r="38" spans="2:13">
      <c r="B38" s="66">
        <v>6</v>
      </c>
      <c r="C38" s="70">
        <v>18</v>
      </c>
      <c r="D38" s="69" t="s">
        <v>73</v>
      </c>
      <c r="E38" s="67" t="str">
        <f>VLOOKUP(D38,基础数据表!A:G,2,FALSE)</f>
        <v>佳缘电器</v>
      </c>
      <c r="F38" s="67"/>
      <c r="G38" s="67" t="str">
        <f>VLOOKUP(D38,基础数据表!A:G,3,FALSE)</f>
        <v>JCK005</v>
      </c>
      <c r="H38" s="67" t="str">
        <f>VLOOKUP(D38,基础数据表!A:G,4,FALSE)</f>
        <v>集成块</v>
      </c>
      <c r="I38" s="67" t="str">
        <f>VLOOKUP(D38,基础数据表!A:G,5,FALSE)</f>
        <v>AEu8143</v>
      </c>
      <c r="J38" s="67" t="str">
        <f>VLOOKUP(D38,基础数据表!A:G,6,FALSE)</f>
        <v>支</v>
      </c>
      <c r="K38" s="69">
        <v>1000</v>
      </c>
      <c r="L38" s="67">
        <f>VLOOKUP(D38,基础数据表!A:G,7,FALSE)</f>
        <v>70</v>
      </c>
      <c r="M38" s="74">
        <f t="shared" si="1"/>
        <v>70000</v>
      </c>
    </row>
    <row r="39" spans="2:13">
      <c r="B39" s="66">
        <v>6</v>
      </c>
      <c r="C39" s="70">
        <v>25</v>
      </c>
      <c r="D39" s="69" t="s">
        <v>73</v>
      </c>
      <c r="E39" s="67" t="str">
        <f>VLOOKUP(D39,基础数据表!A:G,2,FALSE)</f>
        <v>佳缘电器</v>
      </c>
      <c r="F39" s="67"/>
      <c r="G39" s="67" t="str">
        <f>VLOOKUP(D39,基础数据表!A:G,3,FALSE)</f>
        <v>JCK005</v>
      </c>
      <c r="H39" s="67" t="str">
        <f>VLOOKUP(D39,基础数据表!A:G,4,FALSE)</f>
        <v>集成块</v>
      </c>
      <c r="I39" s="67" t="str">
        <f>VLOOKUP(D39,基础数据表!A:G,5,FALSE)</f>
        <v>AEu8143</v>
      </c>
      <c r="J39" s="67" t="str">
        <f>VLOOKUP(D39,基础数据表!A:G,6,FALSE)</f>
        <v>支</v>
      </c>
      <c r="K39" s="73">
        <v>400</v>
      </c>
      <c r="L39" s="67">
        <f>VLOOKUP(D39,基础数据表!A:G,7,FALSE)</f>
        <v>70</v>
      </c>
      <c r="M39" s="74">
        <f t="shared" si="1"/>
        <v>28000</v>
      </c>
    </row>
    <row r="40" spans="2:13">
      <c r="B40" s="66">
        <v>6</v>
      </c>
      <c r="C40" s="67">
        <v>1</v>
      </c>
      <c r="D40" s="69" t="s">
        <v>29</v>
      </c>
      <c r="E40" s="67" t="str">
        <f>VLOOKUP(D40,基础数据表!A:G,2,FALSE)</f>
        <v>金元电器</v>
      </c>
      <c r="F40" s="67"/>
      <c r="G40" s="67" t="str">
        <f>VLOOKUP(D40,基础数据表!A:G,3,FALSE)</f>
        <v>DZ0006</v>
      </c>
      <c r="H40" s="67" t="str">
        <f>VLOOKUP(D40,基础数据表!A:G,4,FALSE)</f>
        <v>电阻</v>
      </c>
      <c r="I40" s="67" t="str">
        <f>VLOOKUP(D40,基础数据表!A:G,5,FALSE)</f>
        <v>30Ω</v>
      </c>
      <c r="J40" s="67" t="str">
        <f>VLOOKUP(D40,基础数据表!A:G,6,FALSE)</f>
        <v>支</v>
      </c>
      <c r="K40" s="73">
        <v>540</v>
      </c>
      <c r="L40" s="67">
        <f>VLOOKUP(D40,基础数据表!A:G,7,FALSE)</f>
        <v>0.36</v>
      </c>
      <c r="M40" s="74">
        <f t="shared" si="1"/>
        <v>194.4</v>
      </c>
    </row>
    <row r="41" spans="2:13">
      <c r="B41" s="66">
        <v>6</v>
      </c>
      <c r="C41" s="67">
        <v>1</v>
      </c>
      <c r="D41" s="69" t="s">
        <v>29</v>
      </c>
      <c r="E41" s="67" t="str">
        <f>VLOOKUP(D41,基础数据表!A:G,2,FALSE)</f>
        <v>金元电器</v>
      </c>
      <c r="F41" s="67"/>
      <c r="G41" s="67" t="str">
        <f>VLOOKUP(D41,基础数据表!A:G,3,FALSE)</f>
        <v>DZ0006</v>
      </c>
      <c r="H41" s="67" t="str">
        <f>VLOOKUP(D41,基础数据表!A:G,4,FALSE)</f>
        <v>电阻</v>
      </c>
      <c r="I41" s="67" t="str">
        <f>VLOOKUP(D41,基础数据表!A:G,5,FALSE)</f>
        <v>30Ω</v>
      </c>
      <c r="J41" s="67" t="str">
        <f>VLOOKUP(D41,基础数据表!A:G,6,FALSE)</f>
        <v>支</v>
      </c>
      <c r="K41" s="73">
        <v>456</v>
      </c>
      <c r="L41" s="67">
        <f>VLOOKUP(D41,基础数据表!A:G,7,FALSE)</f>
        <v>0.36</v>
      </c>
      <c r="M41" s="74">
        <f t="shared" si="1"/>
        <v>164.16</v>
      </c>
    </row>
    <row r="42" spans="2:13">
      <c r="B42" s="66">
        <v>6</v>
      </c>
      <c r="C42" s="67">
        <v>2</v>
      </c>
      <c r="D42" s="69" t="s">
        <v>37</v>
      </c>
      <c r="E42" s="67" t="str">
        <f>VLOOKUP(D42,基础数据表!A:G,2,FALSE)</f>
        <v>恒杰电子</v>
      </c>
      <c r="F42" s="67"/>
      <c r="G42" s="67" t="str">
        <f>VLOOKUP(D42,基础数据表!A:G,3,FALSE)</f>
        <v>DR0002</v>
      </c>
      <c r="H42" s="67" t="str">
        <f>VLOOKUP(D42,基础数据表!A:G,4,FALSE)</f>
        <v>电容</v>
      </c>
      <c r="I42" s="67" t="str">
        <f>VLOOKUP(D42,基础数据表!A:G,5,FALSE)</f>
        <v>18F</v>
      </c>
      <c r="J42" s="67" t="str">
        <f>VLOOKUP(D42,基础数据表!A:G,6,FALSE)</f>
        <v>支</v>
      </c>
      <c r="K42" s="73">
        <v>215</v>
      </c>
      <c r="L42" s="67">
        <f>VLOOKUP(D42,基础数据表!A:G,7,FALSE)</f>
        <v>0.65</v>
      </c>
      <c r="M42" s="74">
        <f t="shared" si="1"/>
        <v>139.75</v>
      </c>
    </row>
    <row r="43" spans="2:13">
      <c r="B43" s="66">
        <v>6</v>
      </c>
      <c r="C43" s="67">
        <v>2</v>
      </c>
      <c r="D43" s="69" t="s">
        <v>32</v>
      </c>
      <c r="E43" s="67" t="str">
        <f>VLOOKUP(D43,基础数据表!A:G,2,FALSE)</f>
        <v>盛华</v>
      </c>
      <c r="F43" s="67"/>
      <c r="G43" s="67" t="str">
        <f>VLOOKUP(D43,基础数据表!A:G,3,FALSE)</f>
        <v>DR0001</v>
      </c>
      <c r="H43" s="67" t="str">
        <f>VLOOKUP(D43,基础数据表!A:G,4,FALSE)</f>
        <v>电容</v>
      </c>
      <c r="I43" s="67" t="str">
        <f>VLOOKUP(D43,基础数据表!A:G,5,FALSE)</f>
        <v>10F</v>
      </c>
      <c r="J43" s="67" t="str">
        <f>VLOOKUP(D43,基础数据表!A:G,6,FALSE)</f>
        <v>支</v>
      </c>
      <c r="K43" s="73">
        <v>2000</v>
      </c>
      <c r="L43" s="67">
        <f>VLOOKUP(D43,基础数据表!A:G,7,FALSE)</f>
        <v>0.78</v>
      </c>
      <c r="M43" s="74">
        <f t="shared" si="1"/>
        <v>1560</v>
      </c>
    </row>
    <row r="44" spans="2:13">
      <c r="B44" s="66">
        <v>6</v>
      </c>
      <c r="C44" s="67">
        <v>3</v>
      </c>
      <c r="D44" s="69" t="s">
        <v>32</v>
      </c>
      <c r="E44" s="67" t="str">
        <f>VLOOKUP(D44,基础数据表!A:G,2,FALSE)</f>
        <v>盛华</v>
      </c>
      <c r="F44" s="67"/>
      <c r="G44" s="67" t="str">
        <f>VLOOKUP(D44,基础数据表!A:G,3,FALSE)</f>
        <v>DR0001</v>
      </c>
      <c r="H44" s="67" t="str">
        <f>VLOOKUP(D44,基础数据表!A:G,4,FALSE)</f>
        <v>电容</v>
      </c>
      <c r="I44" s="67" t="str">
        <f>VLOOKUP(D44,基础数据表!A:G,5,FALSE)</f>
        <v>10F</v>
      </c>
      <c r="J44" s="67" t="str">
        <f>VLOOKUP(D44,基础数据表!A:G,6,FALSE)</f>
        <v>支</v>
      </c>
      <c r="K44" s="73">
        <v>3000</v>
      </c>
      <c r="L44" s="67">
        <f>VLOOKUP(D44,基础数据表!A:G,7,FALSE)</f>
        <v>0.78</v>
      </c>
      <c r="M44" s="74">
        <f t="shared" si="1"/>
        <v>2340</v>
      </c>
    </row>
    <row r="45" spans="2:13">
      <c r="B45" s="66">
        <v>6</v>
      </c>
      <c r="C45" s="67">
        <v>3</v>
      </c>
      <c r="D45" s="69" t="s">
        <v>25</v>
      </c>
      <c r="E45" s="67" t="str">
        <f>VLOOKUP(D45,基础数据表!A:G,2,FALSE)</f>
        <v>金元电器</v>
      </c>
      <c r="F45" s="67"/>
      <c r="G45" s="67" t="str">
        <f>VLOOKUP(D45,基础数据表!A:G,3,FALSE)</f>
        <v>DZ0005</v>
      </c>
      <c r="H45" s="67" t="str">
        <f>VLOOKUP(D45,基础数据表!A:G,4,FALSE)</f>
        <v>电阻</v>
      </c>
      <c r="I45" s="67" t="str">
        <f>VLOOKUP(D45,基础数据表!A:G,5,FALSE)</f>
        <v>29Ω</v>
      </c>
      <c r="J45" s="67" t="str">
        <f>VLOOKUP(D45,基础数据表!A:G,6,FALSE)</f>
        <v>支</v>
      </c>
      <c r="K45" s="73">
        <v>200</v>
      </c>
      <c r="L45" s="67">
        <f>VLOOKUP(D45,基础数据表!A:G,7,FALSE)</f>
        <v>0.21</v>
      </c>
      <c r="M45" s="74">
        <f t="shared" si="1"/>
        <v>42</v>
      </c>
    </row>
    <row r="46" spans="2:13">
      <c r="B46" s="66">
        <v>6</v>
      </c>
      <c r="C46" s="67">
        <v>5</v>
      </c>
      <c r="D46" s="69" t="s">
        <v>29</v>
      </c>
      <c r="E46" s="67" t="str">
        <f>VLOOKUP(D46,基础数据表!A:G,2,FALSE)</f>
        <v>金元电器</v>
      </c>
      <c r="F46" s="67"/>
      <c r="G46" s="67" t="str">
        <f>VLOOKUP(D46,基础数据表!A:G,3,FALSE)</f>
        <v>DZ0006</v>
      </c>
      <c r="H46" s="67" t="str">
        <f>VLOOKUP(D46,基础数据表!A:G,4,FALSE)</f>
        <v>电阻</v>
      </c>
      <c r="I46" s="67" t="str">
        <f>VLOOKUP(D46,基础数据表!A:G,5,FALSE)</f>
        <v>30Ω</v>
      </c>
      <c r="J46" s="67" t="str">
        <f>VLOOKUP(D46,基础数据表!A:G,6,FALSE)</f>
        <v>支</v>
      </c>
      <c r="K46" s="73">
        <v>201</v>
      </c>
      <c r="L46" s="67">
        <f>VLOOKUP(D46,基础数据表!A:G,7,FALSE)</f>
        <v>0.36</v>
      </c>
      <c r="M46" s="74">
        <f t="shared" si="1"/>
        <v>72.36</v>
      </c>
    </row>
    <row r="47" spans="2:13">
      <c r="B47" s="66">
        <v>6</v>
      </c>
      <c r="C47" s="70">
        <v>12</v>
      </c>
      <c r="D47" s="69" t="s">
        <v>32</v>
      </c>
      <c r="E47" s="67" t="str">
        <f>VLOOKUP(D47,基础数据表!A:G,2,FALSE)</f>
        <v>盛华</v>
      </c>
      <c r="F47" s="67"/>
      <c r="G47" s="67" t="str">
        <f>VLOOKUP(D47,基础数据表!A:G,3,FALSE)</f>
        <v>DR0001</v>
      </c>
      <c r="H47" s="67" t="str">
        <f>VLOOKUP(D47,基础数据表!A:G,4,FALSE)</f>
        <v>电容</v>
      </c>
      <c r="I47" s="67" t="str">
        <f>VLOOKUP(D47,基础数据表!A:G,5,FALSE)</f>
        <v>10F</v>
      </c>
      <c r="J47" s="67" t="str">
        <f>VLOOKUP(D47,基础数据表!A:G,6,FALSE)</f>
        <v>支</v>
      </c>
      <c r="K47" s="69">
        <v>5000</v>
      </c>
      <c r="L47" s="67">
        <f>VLOOKUP(D47,基础数据表!A:G,7,FALSE)</f>
        <v>0.78</v>
      </c>
      <c r="M47" s="74">
        <f t="shared" si="1"/>
        <v>3900</v>
      </c>
    </row>
    <row r="48" spans="2:13">
      <c r="B48" s="66">
        <v>6</v>
      </c>
      <c r="C48" s="70">
        <v>15</v>
      </c>
      <c r="D48" s="69" t="s">
        <v>25</v>
      </c>
      <c r="E48" s="67" t="str">
        <f>VLOOKUP(D48,基础数据表!A:G,2,FALSE)</f>
        <v>金元电器</v>
      </c>
      <c r="F48" s="67"/>
      <c r="G48" s="67" t="str">
        <f>VLOOKUP(D48,基础数据表!A:G,3,FALSE)</f>
        <v>DZ0005</v>
      </c>
      <c r="H48" s="67" t="str">
        <f>VLOOKUP(D48,基础数据表!A:G,4,FALSE)</f>
        <v>电阻</v>
      </c>
      <c r="I48" s="67" t="str">
        <f>VLOOKUP(D48,基础数据表!A:G,5,FALSE)</f>
        <v>29Ω</v>
      </c>
      <c r="J48" s="67" t="str">
        <f>VLOOKUP(D48,基础数据表!A:G,6,FALSE)</f>
        <v>支</v>
      </c>
      <c r="K48" s="69">
        <v>3000</v>
      </c>
      <c r="L48" s="67">
        <f>VLOOKUP(D48,基础数据表!A:G,7,FALSE)</f>
        <v>0.21</v>
      </c>
      <c r="M48" s="74">
        <f t="shared" si="1"/>
        <v>630</v>
      </c>
    </row>
    <row r="49" spans="2:13">
      <c r="B49" s="66">
        <v>6</v>
      </c>
      <c r="C49" s="70">
        <v>15</v>
      </c>
      <c r="D49" s="69" t="s">
        <v>29</v>
      </c>
      <c r="E49" s="67" t="str">
        <f>VLOOKUP(D49,基础数据表!A:G,2,FALSE)</f>
        <v>金元电器</v>
      </c>
      <c r="F49" s="67"/>
      <c r="G49" s="67" t="str">
        <f>VLOOKUP(D49,基础数据表!A:G,3,FALSE)</f>
        <v>DZ0006</v>
      </c>
      <c r="H49" s="67" t="str">
        <f>VLOOKUP(D49,基础数据表!A:G,4,FALSE)</f>
        <v>电阻</v>
      </c>
      <c r="I49" s="67" t="str">
        <f>VLOOKUP(D49,基础数据表!A:G,5,FALSE)</f>
        <v>30Ω</v>
      </c>
      <c r="J49" s="67" t="str">
        <f>VLOOKUP(D49,基础数据表!A:G,6,FALSE)</f>
        <v>支</v>
      </c>
      <c r="K49" s="69">
        <v>600</v>
      </c>
      <c r="L49" s="67">
        <f>VLOOKUP(D49,基础数据表!A:G,7,FALSE)</f>
        <v>0.36</v>
      </c>
      <c r="M49" s="74">
        <f t="shared" si="1"/>
        <v>216</v>
      </c>
    </row>
    <row r="50" spans="2:13">
      <c r="B50" s="66">
        <v>6</v>
      </c>
      <c r="C50" s="70">
        <v>18</v>
      </c>
      <c r="D50" s="69" t="s">
        <v>25</v>
      </c>
      <c r="E50" s="67" t="str">
        <f>VLOOKUP(D50,基础数据表!A:G,2,FALSE)</f>
        <v>金元电器</v>
      </c>
      <c r="F50" s="67"/>
      <c r="G50" s="67" t="str">
        <f>VLOOKUP(D50,基础数据表!A:G,3,FALSE)</f>
        <v>DZ0005</v>
      </c>
      <c r="H50" s="67" t="str">
        <f>VLOOKUP(D50,基础数据表!A:G,4,FALSE)</f>
        <v>电阻</v>
      </c>
      <c r="I50" s="67" t="str">
        <f>VLOOKUP(D50,基础数据表!A:G,5,FALSE)</f>
        <v>29Ω</v>
      </c>
      <c r="J50" s="67" t="str">
        <f>VLOOKUP(D50,基础数据表!A:G,6,FALSE)</f>
        <v>支</v>
      </c>
      <c r="K50" s="73">
        <v>850</v>
      </c>
      <c r="L50" s="67">
        <f>VLOOKUP(D50,基础数据表!A:G,7,FALSE)</f>
        <v>0.21</v>
      </c>
      <c r="M50" s="74">
        <f t="shared" si="1"/>
        <v>178.5</v>
      </c>
    </row>
    <row r="51" spans="2:13">
      <c r="B51" s="66">
        <v>6</v>
      </c>
      <c r="C51" s="70">
        <v>18</v>
      </c>
      <c r="D51" s="69" t="s">
        <v>29</v>
      </c>
      <c r="E51" s="67" t="str">
        <f>VLOOKUP(D51,基础数据表!A:G,2,FALSE)</f>
        <v>金元电器</v>
      </c>
      <c r="F51" s="67"/>
      <c r="G51" s="67" t="str">
        <f>VLOOKUP(D51,基础数据表!A:G,3,FALSE)</f>
        <v>DZ0006</v>
      </c>
      <c r="H51" s="67" t="str">
        <f>VLOOKUP(D51,基础数据表!A:G,4,FALSE)</f>
        <v>电阻</v>
      </c>
      <c r="I51" s="67" t="str">
        <f>VLOOKUP(D51,基础数据表!A:G,5,FALSE)</f>
        <v>30Ω</v>
      </c>
      <c r="J51" s="67" t="str">
        <f>VLOOKUP(D51,基础数据表!A:G,6,FALSE)</f>
        <v>支</v>
      </c>
      <c r="K51" s="73">
        <v>780</v>
      </c>
      <c r="L51" s="67">
        <f>VLOOKUP(D51,基础数据表!A:G,7,FALSE)</f>
        <v>0.36</v>
      </c>
      <c r="M51" s="74">
        <f t="shared" si="1"/>
        <v>280.8</v>
      </c>
    </row>
    <row r="52" spans="2:13">
      <c r="B52" s="66">
        <v>6</v>
      </c>
      <c r="C52" s="70">
        <v>20</v>
      </c>
      <c r="D52" s="69" t="s">
        <v>25</v>
      </c>
      <c r="E52" s="67" t="str">
        <f>VLOOKUP(D52,基础数据表!A:G,2,FALSE)</f>
        <v>金元电器</v>
      </c>
      <c r="F52" s="67"/>
      <c r="G52" s="67" t="str">
        <f>VLOOKUP(D52,基础数据表!A:G,3,FALSE)</f>
        <v>DZ0005</v>
      </c>
      <c r="H52" s="67" t="str">
        <f>VLOOKUP(D52,基础数据表!A:G,4,FALSE)</f>
        <v>电阻</v>
      </c>
      <c r="I52" s="67" t="str">
        <f>VLOOKUP(D52,基础数据表!A:G,5,FALSE)</f>
        <v>29Ω</v>
      </c>
      <c r="J52" s="67" t="str">
        <f>VLOOKUP(D52,基础数据表!A:G,6,FALSE)</f>
        <v>支</v>
      </c>
      <c r="K52" s="73">
        <v>960</v>
      </c>
      <c r="L52" s="67">
        <f>VLOOKUP(D52,基础数据表!A:G,7,FALSE)</f>
        <v>0.21</v>
      </c>
      <c r="M52" s="74">
        <f t="shared" si="1"/>
        <v>201.6</v>
      </c>
    </row>
    <row r="53" spans="2:13">
      <c r="B53" s="66">
        <v>6</v>
      </c>
      <c r="C53" s="70">
        <v>20</v>
      </c>
      <c r="D53" s="69" t="s">
        <v>29</v>
      </c>
      <c r="E53" s="67" t="str">
        <f>VLOOKUP(D53,基础数据表!A:G,2,FALSE)</f>
        <v>金元电器</v>
      </c>
      <c r="F53" s="67"/>
      <c r="G53" s="67" t="str">
        <f>VLOOKUP(D53,基础数据表!A:G,3,FALSE)</f>
        <v>DZ0006</v>
      </c>
      <c r="H53" s="67" t="str">
        <f>VLOOKUP(D53,基础数据表!A:G,4,FALSE)</f>
        <v>电阻</v>
      </c>
      <c r="I53" s="67" t="str">
        <f>VLOOKUP(D53,基础数据表!A:G,5,FALSE)</f>
        <v>30Ω</v>
      </c>
      <c r="J53" s="67" t="str">
        <f>VLOOKUP(D53,基础数据表!A:G,6,FALSE)</f>
        <v>支</v>
      </c>
      <c r="K53" s="73">
        <v>650</v>
      </c>
      <c r="L53" s="67">
        <f>VLOOKUP(D53,基础数据表!A:G,7,FALSE)</f>
        <v>0.36</v>
      </c>
      <c r="M53" s="74">
        <f t="shared" si="1"/>
        <v>234</v>
      </c>
    </row>
    <row r="54" spans="2:13">
      <c r="B54" s="66">
        <v>6</v>
      </c>
      <c r="C54" s="70">
        <v>26</v>
      </c>
      <c r="D54" s="69" t="s">
        <v>25</v>
      </c>
      <c r="E54" s="67" t="str">
        <f>VLOOKUP(D54,基础数据表!A:G,2,FALSE)</f>
        <v>金元电器</v>
      </c>
      <c r="F54" s="67"/>
      <c r="G54" s="67" t="str">
        <f>VLOOKUP(D54,基础数据表!A:G,3,FALSE)</f>
        <v>DZ0005</v>
      </c>
      <c r="H54" s="67" t="str">
        <f>VLOOKUP(D54,基础数据表!A:G,4,FALSE)</f>
        <v>电阻</v>
      </c>
      <c r="I54" s="67" t="str">
        <f>VLOOKUP(D54,基础数据表!A:G,5,FALSE)</f>
        <v>29Ω</v>
      </c>
      <c r="J54" s="67" t="str">
        <f>VLOOKUP(D54,基础数据表!A:G,6,FALSE)</f>
        <v>支</v>
      </c>
      <c r="K54" s="73">
        <v>500</v>
      </c>
      <c r="L54" s="67">
        <f>VLOOKUP(D54,基础数据表!A:G,7,FALSE)</f>
        <v>0.21</v>
      </c>
      <c r="M54" s="74">
        <f t="shared" si="1"/>
        <v>105</v>
      </c>
    </row>
    <row r="55" spans="2:13">
      <c r="B55" s="66">
        <v>6</v>
      </c>
      <c r="C55" s="70">
        <v>28</v>
      </c>
      <c r="D55" s="69" t="s">
        <v>29</v>
      </c>
      <c r="E55" s="67" t="str">
        <f>VLOOKUP(D55,基础数据表!A:G,2,FALSE)</f>
        <v>金元电器</v>
      </c>
      <c r="F55" s="67"/>
      <c r="G55" s="67" t="str">
        <f>VLOOKUP(D55,基础数据表!A:G,3,FALSE)</f>
        <v>DZ0006</v>
      </c>
      <c r="H55" s="67" t="str">
        <f>VLOOKUP(D55,基础数据表!A:G,4,FALSE)</f>
        <v>电阻</v>
      </c>
      <c r="I55" s="67" t="str">
        <f>VLOOKUP(D55,基础数据表!A:G,5,FALSE)</f>
        <v>30Ω</v>
      </c>
      <c r="J55" s="67" t="str">
        <f>VLOOKUP(D55,基础数据表!A:G,6,FALSE)</f>
        <v>支</v>
      </c>
      <c r="K55" s="73">
        <v>1200</v>
      </c>
      <c r="L55" s="67">
        <f>VLOOKUP(D55,基础数据表!A:G,7,FALSE)</f>
        <v>0.36</v>
      </c>
      <c r="M55" s="74">
        <f t="shared" si="1"/>
        <v>432</v>
      </c>
    </row>
    <row r="56" spans="2:13">
      <c r="B56" s="66">
        <v>6</v>
      </c>
      <c r="C56" s="70">
        <v>15</v>
      </c>
      <c r="D56" s="69" t="s">
        <v>65</v>
      </c>
      <c r="E56" s="67" t="str">
        <f>VLOOKUP(D56,基础数据表!A:G,2,FALSE)</f>
        <v>克罗保</v>
      </c>
      <c r="F56" s="67"/>
      <c r="G56" s="67" t="str">
        <f>VLOOKUP(D56,基础数据表!A:G,3,FALSE)</f>
        <v>JCK003</v>
      </c>
      <c r="H56" s="67" t="str">
        <f>VLOOKUP(D56,基础数据表!A:G,4,FALSE)</f>
        <v>集成块</v>
      </c>
      <c r="I56" s="67" t="str">
        <f>VLOOKUP(D56,基础数据表!A:G,5,FALSE)</f>
        <v>AEu8141</v>
      </c>
      <c r="J56" s="67" t="str">
        <f>VLOOKUP(D56,基础数据表!A:G,6,FALSE)</f>
        <v>支</v>
      </c>
      <c r="K56" s="69">
        <v>500</v>
      </c>
      <c r="L56" s="67">
        <f>VLOOKUP(D56,基础数据表!A:G,7,FALSE)</f>
        <v>124.85</v>
      </c>
      <c r="M56" s="74">
        <f t="shared" si="1"/>
        <v>62425</v>
      </c>
    </row>
    <row r="57" spans="2:13">
      <c r="B57" s="66">
        <v>6</v>
      </c>
      <c r="C57" s="70">
        <v>27</v>
      </c>
      <c r="D57" s="69" t="s">
        <v>65</v>
      </c>
      <c r="E57" s="67" t="str">
        <f>VLOOKUP(D57,基础数据表!A:G,2,FALSE)</f>
        <v>克罗保</v>
      </c>
      <c r="F57" s="67"/>
      <c r="G57" s="67" t="str">
        <f>VLOOKUP(D57,基础数据表!A:G,3,FALSE)</f>
        <v>JCK003</v>
      </c>
      <c r="H57" s="67" t="str">
        <f>VLOOKUP(D57,基础数据表!A:G,4,FALSE)</f>
        <v>集成块</v>
      </c>
      <c r="I57" s="67" t="str">
        <f>VLOOKUP(D57,基础数据表!A:G,5,FALSE)</f>
        <v>AEu8141</v>
      </c>
      <c r="J57" s="67" t="str">
        <f>VLOOKUP(D57,基础数据表!A:G,6,FALSE)</f>
        <v>支</v>
      </c>
      <c r="K57" s="73">
        <v>500</v>
      </c>
      <c r="L57" s="67">
        <f>VLOOKUP(D57,基础数据表!A:G,7,FALSE)</f>
        <v>124.85</v>
      </c>
      <c r="M57" s="74">
        <f t="shared" si="1"/>
        <v>62425</v>
      </c>
    </row>
    <row r="58" spans="2:13">
      <c r="B58" s="66">
        <v>6</v>
      </c>
      <c r="C58" s="70">
        <v>18</v>
      </c>
      <c r="D58" s="69" t="s">
        <v>56</v>
      </c>
      <c r="E58" s="67" t="str">
        <f>VLOOKUP(D58,基础数据表!A:G,2,FALSE)</f>
        <v>宏图三胞</v>
      </c>
      <c r="F58" s="67"/>
      <c r="G58" s="67" t="str">
        <f>VLOOKUP(D58,基础数据表!A:G,3,FALSE)</f>
        <v>JCK001</v>
      </c>
      <c r="H58" s="67" t="str">
        <f>VLOOKUP(D58,基础数据表!A:G,4,FALSE)</f>
        <v>集成块</v>
      </c>
      <c r="I58" s="67" t="str">
        <f>VLOOKUP(D58,基础数据表!A:G,5,FALSE)</f>
        <v>AEu8139</v>
      </c>
      <c r="J58" s="67" t="str">
        <f>VLOOKUP(D58,基础数据表!A:G,6,FALSE)</f>
        <v>支</v>
      </c>
      <c r="K58" s="69">
        <v>900</v>
      </c>
      <c r="L58" s="67">
        <f>VLOOKUP(D58,基础数据表!A:G,7,FALSE)</f>
        <v>58.5</v>
      </c>
      <c r="M58" s="74">
        <f t="shared" si="1"/>
        <v>52650</v>
      </c>
    </row>
    <row r="59" spans="2:13">
      <c r="B59" s="66">
        <v>6</v>
      </c>
      <c r="C59" s="70">
        <v>25</v>
      </c>
      <c r="D59" s="69" t="s">
        <v>61</v>
      </c>
      <c r="E59" s="67" t="str">
        <f>VLOOKUP(D59,基础数据表!A:G,2,FALSE)</f>
        <v>罗利亚</v>
      </c>
      <c r="F59" s="67"/>
      <c r="G59" s="67" t="str">
        <f>VLOOKUP(D59,基础数据表!A:G,3,FALSE)</f>
        <v>JCK002</v>
      </c>
      <c r="H59" s="67" t="str">
        <f>VLOOKUP(D59,基础数据表!A:G,4,FALSE)</f>
        <v>集成块</v>
      </c>
      <c r="I59" s="67" t="str">
        <f>VLOOKUP(D59,基础数据表!A:G,5,FALSE)</f>
        <v>AEu8120</v>
      </c>
      <c r="J59" s="67" t="str">
        <f>VLOOKUP(D59,基础数据表!A:G,6,FALSE)</f>
        <v>支</v>
      </c>
      <c r="K59" s="73">
        <v>300</v>
      </c>
      <c r="L59" s="67">
        <f>VLOOKUP(D59,基础数据表!A:G,7,FALSE)</f>
        <v>75.6</v>
      </c>
      <c r="M59" s="74">
        <f t="shared" si="1"/>
        <v>22680</v>
      </c>
    </row>
    <row r="60" spans="2:13">
      <c r="B60" s="66">
        <v>6</v>
      </c>
      <c r="C60" s="67">
        <v>6</v>
      </c>
      <c r="D60" s="69" t="s">
        <v>77</v>
      </c>
      <c r="E60" s="67" t="str">
        <f>VLOOKUP(D60,基础数据表!A:G,2,FALSE)</f>
        <v>时代电子</v>
      </c>
      <c r="F60" s="67"/>
      <c r="G60" s="67" t="str">
        <f>VLOOKUP(D60,基础数据表!A:G,3,FALSE)</f>
        <v>JCK006</v>
      </c>
      <c r="H60" s="67" t="str">
        <f>VLOOKUP(D60,基础数据表!A:G,4,FALSE)</f>
        <v>集成块</v>
      </c>
      <c r="I60" s="67" t="str">
        <f>VLOOKUP(D60,基础数据表!A:G,5,FALSE)</f>
        <v>AEu9144</v>
      </c>
      <c r="J60" s="67" t="str">
        <f>VLOOKUP(D60,基础数据表!A:G,6,FALSE)</f>
        <v>支</v>
      </c>
      <c r="K60" s="73">
        <v>520</v>
      </c>
      <c r="L60" s="67">
        <f>VLOOKUP(D60,基础数据表!A:G,7,FALSE)</f>
        <v>185</v>
      </c>
      <c r="M60" s="74">
        <f t="shared" si="1"/>
        <v>96200</v>
      </c>
    </row>
    <row r="61" spans="2:13">
      <c r="B61" s="66">
        <v>6</v>
      </c>
      <c r="C61" s="70">
        <v>18</v>
      </c>
      <c r="D61" s="69" t="s">
        <v>77</v>
      </c>
      <c r="E61" s="67" t="str">
        <f>VLOOKUP(D61,基础数据表!A:G,2,FALSE)</f>
        <v>时代电子</v>
      </c>
      <c r="F61" s="67"/>
      <c r="G61" s="67" t="str">
        <f>VLOOKUP(D61,基础数据表!A:G,3,FALSE)</f>
        <v>JCK006</v>
      </c>
      <c r="H61" s="67" t="str">
        <f>VLOOKUP(D61,基础数据表!A:G,4,FALSE)</f>
        <v>集成块</v>
      </c>
      <c r="I61" s="67" t="str">
        <f>VLOOKUP(D61,基础数据表!A:G,5,FALSE)</f>
        <v>AEu9144</v>
      </c>
      <c r="J61" s="67" t="str">
        <f>VLOOKUP(D61,基础数据表!A:G,6,FALSE)</f>
        <v>支</v>
      </c>
      <c r="K61" s="73">
        <v>1000</v>
      </c>
      <c r="L61" s="67">
        <f>VLOOKUP(D61,基础数据表!A:G,7,FALSE)</f>
        <v>185</v>
      </c>
      <c r="M61" s="74">
        <f t="shared" si="1"/>
        <v>185000</v>
      </c>
    </row>
    <row r="62" spans="2:13">
      <c r="B62" s="66">
        <v>6</v>
      </c>
      <c r="C62" s="70">
        <v>25</v>
      </c>
      <c r="D62" s="69" t="s">
        <v>77</v>
      </c>
      <c r="E62" s="67" t="str">
        <f>VLOOKUP(D62,基础数据表!A:G,2,FALSE)</f>
        <v>时代电子</v>
      </c>
      <c r="F62" s="67"/>
      <c r="G62" s="67" t="str">
        <f>VLOOKUP(D62,基础数据表!A:G,3,FALSE)</f>
        <v>JCK006</v>
      </c>
      <c r="H62" s="67" t="str">
        <f>VLOOKUP(D62,基础数据表!A:G,4,FALSE)</f>
        <v>集成块</v>
      </c>
      <c r="I62" s="67" t="str">
        <f>VLOOKUP(D62,基础数据表!A:G,5,FALSE)</f>
        <v>AEu9144</v>
      </c>
      <c r="J62" s="67" t="str">
        <f>VLOOKUP(D62,基础数据表!A:G,6,FALSE)</f>
        <v>支</v>
      </c>
      <c r="K62" s="73">
        <v>500</v>
      </c>
      <c r="L62" s="67">
        <f>VLOOKUP(D62,基础数据表!A:G,7,FALSE)</f>
        <v>185</v>
      </c>
      <c r="M62" s="74">
        <f t="shared" si="1"/>
        <v>92500</v>
      </c>
    </row>
    <row r="63" spans="2:13">
      <c r="B63" s="66">
        <v>6</v>
      </c>
      <c r="C63" s="70">
        <v>25</v>
      </c>
      <c r="D63" s="69" t="s">
        <v>77</v>
      </c>
      <c r="E63" s="67" t="str">
        <f>VLOOKUP(D63,基础数据表!A:G,2,FALSE)</f>
        <v>时代电子</v>
      </c>
      <c r="F63" s="67"/>
      <c r="G63" s="67" t="str">
        <f>VLOOKUP(D63,基础数据表!A:G,3,FALSE)</f>
        <v>JCK006</v>
      </c>
      <c r="H63" s="67" t="str">
        <f>VLOOKUP(D63,基础数据表!A:G,4,FALSE)</f>
        <v>集成块</v>
      </c>
      <c r="I63" s="67" t="str">
        <f>VLOOKUP(D63,基础数据表!A:G,5,FALSE)</f>
        <v>AEu9144</v>
      </c>
      <c r="J63" s="67" t="str">
        <f>VLOOKUP(D63,基础数据表!A:G,6,FALSE)</f>
        <v>支</v>
      </c>
      <c r="K63" s="73">
        <v>900</v>
      </c>
      <c r="L63" s="67">
        <f>VLOOKUP(D63,基础数据表!A:G,7,FALSE)</f>
        <v>185</v>
      </c>
      <c r="M63" s="74">
        <f t="shared" si="1"/>
        <v>166500</v>
      </c>
    </row>
    <row r="64" spans="2:13">
      <c r="B64" s="66">
        <v>6</v>
      </c>
      <c r="C64" s="70">
        <v>30</v>
      </c>
      <c r="D64" s="69" t="s">
        <v>77</v>
      </c>
      <c r="E64" s="67" t="str">
        <f>VLOOKUP(D64,基础数据表!A:G,2,FALSE)</f>
        <v>时代电子</v>
      </c>
      <c r="F64" s="67"/>
      <c r="G64" s="67" t="str">
        <f>VLOOKUP(D64,基础数据表!A:G,3,FALSE)</f>
        <v>JCK006</v>
      </c>
      <c r="H64" s="67" t="str">
        <f>VLOOKUP(D64,基础数据表!A:G,4,FALSE)</f>
        <v>集成块</v>
      </c>
      <c r="I64" s="67" t="str">
        <f>VLOOKUP(D64,基础数据表!A:G,5,FALSE)</f>
        <v>AEu9144</v>
      </c>
      <c r="J64" s="67" t="str">
        <f>VLOOKUP(D64,基础数据表!A:G,6,FALSE)</f>
        <v>支</v>
      </c>
      <c r="K64" s="73">
        <v>1500</v>
      </c>
      <c r="L64" s="67">
        <f>VLOOKUP(D64,基础数据表!A:G,7,FALSE)</f>
        <v>185</v>
      </c>
      <c r="M64" s="74">
        <f t="shared" si="1"/>
        <v>277500</v>
      </c>
    </row>
    <row r="65" spans="2:13">
      <c r="B65" s="66">
        <v>6</v>
      </c>
      <c r="C65" s="67">
        <v>6</v>
      </c>
      <c r="D65" s="69" t="s">
        <v>81</v>
      </c>
      <c r="E65" s="67" t="str">
        <f>VLOOKUP(D65,基础数据表!A:G,2,FALSE)</f>
        <v>思创科技</v>
      </c>
      <c r="F65" s="67"/>
      <c r="G65" s="67" t="str">
        <f>VLOOKUP(D65,基础数据表!A:G,3,FALSE)</f>
        <v>JCK007</v>
      </c>
      <c r="H65" s="67" t="str">
        <f>VLOOKUP(D65,基础数据表!A:G,4,FALSE)</f>
        <v>集成块</v>
      </c>
      <c r="I65" s="67" t="str">
        <f>VLOOKUP(D65,基础数据表!A:G,5,FALSE)</f>
        <v>AEu8145</v>
      </c>
      <c r="J65" s="67" t="str">
        <f>VLOOKUP(D65,基础数据表!A:G,6,FALSE)</f>
        <v>支</v>
      </c>
      <c r="K65" s="73">
        <v>520</v>
      </c>
      <c r="L65" s="67">
        <f>VLOOKUP(D65,基础数据表!A:G,7,FALSE)</f>
        <v>412.5</v>
      </c>
      <c r="M65" s="74">
        <f t="shared" si="1"/>
        <v>214500</v>
      </c>
    </row>
    <row r="66" spans="2:13">
      <c r="B66" s="66">
        <v>6</v>
      </c>
      <c r="C66" s="70">
        <v>18</v>
      </c>
      <c r="D66" s="69" t="s">
        <v>81</v>
      </c>
      <c r="E66" s="67" t="str">
        <f>VLOOKUP(D66,基础数据表!A:G,2,FALSE)</f>
        <v>思创科技</v>
      </c>
      <c r="F66" s="67"/>
      <c r="G66" s="67" t="str">
        <f>VLOOKUP(D66,基础数据表!A:G,3,FALSE)</f>
        <v>JCK007</v>
      </c>
      <c r="H66" s="67" t="str">
        <f>VLOOKUP(D66,基础数据表!A:G,4,FALSE)</f>
        <v>集成块</v>
      </c>
      <c r="I66" s="67" t="str">
        <f>VLOOKUP(D66,基础数据表!A:G,5,FALSE)</f>
        <v>AEu8145</v>
      </c>
      <c r="J66" s="67" t="str">
        <f>VLOOKUP(D66,基础数据表!A:G,6,FALSE)</f>
        <v>支</v>
      </c>
      <c r="K66" s="73">
        <v>1000</v>
      </c>
      <c r="L66" s="67">
        <f>VLOOKUP(D66,基础数据表!A:G,7,FALSE)</f>
        <v>412.5</v>
      </c>
      <c r="M66" s="74">
        <f t="shared" si="1"/>
        <v>412500</v>
      </c>
    </row>
    <row r="67" spans="2:13">
      <c r="B67" s="66">
        <v>6</v>
      </c>
      <c r="C67" s="70">
        <v>18</v>
      </c>
      <c r="D67" s="69" t="s">
        <v>81</v>
      </c>
      <c r="E67" s="67" t="str">
        <f>VLOOKUP(D67,基础数据表!A:G,2,FALSE)</f>
        <v>思创科技</v>
      </c>
      <c r="F67" s="67"/>
      <c r="G67" s="67" t="str">
        <f>VLOOKUP(D67,基础数据表!A:G,3,FALSE)</f>
        <v>JCK007</v>
      </c>
      <c r="H67" s="67" t="str">
        <f>VLOOKUP(D67,基础数据表!A:G,4,FALSE)</f>
        <v>集成块</v>
      </c>
      <c r="I67" s="67" t="str">
        <f>VLOOKUP(D67,基础数据表!A:G,5,FALSE)</f>
        <v>AEu8145</v>
      </c>
      <c r="J67" s="67" t="str">
        <f>VLOOKUP(D67,基础数据表!A:G,6,FALSE)</f>
        <v>支</v>
      </c>
      <c r="K67" s="73">
        <v>500</v>
      </c>
      <c r="L67" s="67">
        <f>VLOOKUP(D67,基础数据表!A:G,7,FALSE)</f>
        <v>412.5</v>
      </c>
      <c r="M67" s="74">
        <f t="shared" si="1"/>
        <v>206250</v>
      </c>
    </row>
    <row r="68" spans="2:13">
      <c r="B68" s="66">
        <v>6</v>
      </c>
      <c r="C68" s="70">
        <v>25</v>
      </c>
      <c r="D68" s="69" t="s">
        <v>81</v>
      </c>
      <c r="E68" s="67" t="str">
        <f>VLOOKUP(D68,基础数据表!A:G,2,FALSE)</f>
        <v>思创科技</v>
      </c>
      <c r="F68" s="67"/>
      <c r="G68" s="67" t="str">
        <f>VLOOKUP(D68,基础数据表!A:G,3,FALSE)</f>
        <v>JCK007</v>
      </c>
      <c r="H68" s="67" t="str">
        <f>VLOOKUP(D68,基础数据表!A:G,4,FALSE)</f>
        <v>集成块</v>
      </c>
      <c r="I68" s="67" t="str">
        <f>VLOOKUP(D68,基础数据表!A:G,5,FALSE)</f>
        <v>AEu8145</v>
      </c>
      <c r="J68" s="67" t="str">
        <f>VLOOKUP(D68,基础数据表!A:G,6,FALSE)</f>
        <v>支</v>
      </c>
      <c r="K68" s="73">
        <v>800</v>
      </c>
      <c r="L68" s="67">
        <f>VLOOKUP(D68,基础数据表!A:G,7,FALSE)</f>
        <v>412.5</v>
      </c>
      <c r="M68" s="74">
        <f t="shared" ref="M68:M83" si="2">K68*L68</f>
        <v>330000</v>
      </c>
    </row>
    <row r="69" spans="2:13">
      <c r="B69" s="66">
        <v>6</v>
      </c>
      <c r="C69" s="67">
        <v>1</v>
      </c>
      <c r="D69" s="73" t="s">
        <v>21</v>
      </c>
      <c r="E69" s="67" t="str">
        <f>VLOOKUP(D69,基础数据表!A:G,2,FALSE)</f>
        <v>元丰今日</v>
      </c>
      <c r="F69" s="67"/>
      <c r="G69" s="67" t="str">
        <f>VLOOKUP(D69,基础数据表!A:G,3,FALSE)</f>
        <v>DZ0004</v>
      </c>
      <c r="H69" s="67" t="str">
        <f>VLOOKUP(D69,基础数据表!A:G,4,FALSE)</f>
        <v>电阻</v>
      </c>
      <c r="I69" s="67" t="str">
        <f>VLOOKUP(D69,基础数据表!A:G,5,FALSE)</f>
        <v>320Ω</v>
      </c>
      <c r="J69" s="67" t="str">
        <f>VLOOKUP(D69,基础数据表!A:G,6,FALSE)</f>
        <v>支</v>
      </c>
      <c r="K69" s="73">
        <v>630</v>
      </c>
      <c r="L69" s="67">
        <f>VLOOKUP(D69,基础数据表!A:G,7,FALSE)</f>
        <v>0.89</v>
      </c>
      <c r="M69" s="74">
        <f t="shared" si="2"/>
        <v>560.7</v>
      </c>
    </row>
    <row r="70" spans="2:13">
      <c r="B70" s="66">
        <v>6</v>
      </c>
      <c r="C70" s="67">
        <v>5</v>
      </c>
      <c r="D70" s="73" t="s">
        <v>21</v>
      </c>
      <c r="E70" s="67" t="str">
        <f>VLOOKUP(D70,基础数据表!A:G,2,FALSE)</f>
        <v>元丰今日</v>
      </c>
      <c r="F70" s="67"/>
      <c r="G70" s="67" t="str">
        <f>VLOOKUP(D70,基础数据表!A:G,3,FALSE)</f>
        <v>DZ0004</v>
      </c>
      <c r="H70" s="67" t="str">
        <f>VLOOKUP(D70,基础数据表!A:G,4,FALSE)</f>
        <v>电阻</v>
      </c>
      <c r="I70" s="67" t="str">
        <f>VLOOKUP(D70,基础数据表!A:G,5,FALSE)</f>
        <v>320Ω</v>
      </c>
      <c r="J70" s="67" t="str">
        <f>VLOOKUP(D70,基础数据表!A:G,6,FALSE)</f>
        <v>支</v>
      </c>
      <c r="K70" s="73">
        <v>650</v>
      </c>
      <c r="L70" s="67">
        <f>VLOOKUP(D70,基础数据表!A:G,7,FALSE)</f>
        <v>0.89</v>
      </c>
      <c r="M70" s="74">
        <f t="shared" si="2"/>
        <v>578.5</v>
      </c>
    </row>
    <row r="71" spans="2:13">
      <c r="B71" s="66">
        <v>6</v>
      </c>
      <c r="C71" s="70">
        <v>10</v>
      </c>
      <c r="D71" s="73" t="s">
        <v>21</v>
      </c>
      <c r="E71" s="67" t="str">
        <f>VLOOKUP(D71,基础数据表!A:G,2,FALSE)</f>
        <v>元丰今日</v>
      </c>
      <c r="F71" s="67"/>
      <c r="G71" s="67" t="str">
        <f>VLOOKUP(D71,基础数据表!A:G,3,FALSE)</f>
        <v>DZ0004</v>
      </c>
      <c r="H71" s="67" t="str">
        <f>VLOOKUP(D71,基础数据表!A:G,4,FALSE)</f>
        <v>电阻</v>
      </c>
      <c r="I71" s="67" t="str">
        <f>VLOOKUP(D71,基础数据表!A:G,5,FALSE)</f>
        <v>320Ω</v>
      </c>
      <c r="J71" s="67" t="str">
        <f>VLOOKUP(D71,基础数据表!A:G,6,FALSE)</f>
        <v>支</v>
      </c>
      <c r="K71" s="69">
        <v>7800</v>
      </c>
      <c r="L71" s="67">
        <f>VLOOKUP(D71,基础数据表!A:G,7,FALSE)</f>
        <v>0.89</v>
      </c>
      <c r="M71" s="74">
        <f t="shared" si="2"/>
        <v>6942</v>
      </c>
    </row>
    <row r="72" spans="2:13">
      <c r="B72" s="66">
        <v>6</v>
      </c>
      <c r="C72" s="70">
        <v>12</v>
      </c>
      <c r="D72" s="69" t="s">
        <v>8</v>
      </c>
      <c r="E72" s="67" t="str">
        <f>VLOOKUP(D72,基础数据表!A:G,2,FALSE)</f>
        <v>新为电子</v>
      </c>
      <c r="F72" s="67"/>
      <c r="G72" s="67" t="str">
        <f>VLOOKUP(D72,基础数据表!A:G,3,FALSE)</f>
        <v>DZ0001</v>
      </c>
      <c r="H72" s="67" t="str">
        <f>VLOOKUP(D72,基础数据表!A:G,4,FALSE)</f>
        <v>电阻</v>
      </c>
      <c r="I72" s="67" t="str">
        <f>VLOOKUP(D72,基础数据表!A:G,5,FALSE)</f>
        <v>25Ω</v>
      </c>
      <c r="J72" s="67" t="str">
        <f>VLOOKUP(D72,基础数据表!A:G,6,FALSE)</f>
        <v>支</v>
      </c>
      <c r="K72" s="69">
        <v>1000</v>
      </c>
      <c r="L72" s="67">
        <f>VLOOKUP(D72,基础数据表!A:G,7,FALSE)</f>
        <v>0.25</v>
      </c>
      <c r="M72" s="74">
        <f t="shared" si="2"/>
        <v>250</v>
      </c>
    </row>
    <row r="73" spans="2:13">
      <c r="B73" s="66">
        <v>6</v>
      </c>
      <c r="C73" s="70">
        <v>18</v>
      </c>
      <c r="D73" s="69" t="s">
        <v>8</v>
      </c>
      <c r="E73" s="67" t="str">
        <f>VLOOKUP(D73,基础数据表!A:G,2,FALSE)</f>
        <v>新为电子</v>
      </c>
      <c r="F73" s="67"/>
      <c r="G73" s="67" t="str">
        <f>VLOOKUP(D73,基础数据表!A:G,3,FALSE)</f>
        <v>DZ0001</v>
      </c>
      <c r="H73" s="67" t="str">
        <f>VLOOKUP(D73,基础数据表!A:G,4,FALSE)</f>
        <v>电阻</v>
      </c>
      <c r="I73" s="67" t="str">
        <f>VLOOKUP(D73,基础数据表!A:G,5,FALSE)</f>
        <v>25Ω</v>
      </c>
      <c r="J73" s="67" t="str">
        <f>VLOOKUP(D73,基础数据表!A:G,6,FALSE)</f>
        <v>支</v>
      </c>
      <c r="K73" s="73">
        <v>1200</v>
      </c>
      <c r="L73" s="67">
        <f>VLOOKUP(D73,基础数据表!A:G,7,FALSE)</f>
        <v>0.25</v>
      </c>
      <c r="M73" s="74">
        <f t="shared" si="2"/>
        <v>300</v>
      </c>
    </row>
    <row r="74" spans="2:13">
      <c r="B74" s="66">
        <v>6</v>
      </c>
      <c r="C74" s="70">
        <v>18</v>
      </c>
      <c r="D74" s="69" t="s">
        <v>14</v>
      </c>
      <c r="E74" s="67" t="str">
        <f>VLOOKUP(D74,基础数据表!A:G,2,FALSE)</f>
        <v>新为电子</v>
      </c>
      <c r="F74" s="67"/>
      <c r="G74" s="67" t="str">
        <f>VLOOKUP(D74,基础数据表!A:G,3,FALSE)</f>
        <v>DZ0002</v>
      </c>
      <c r="H74" s="67" t="str">
        <f>VLOOKUP(D74,基础数据表!A:G,4,FALSE)</f>
        <v>电阻</v>
      </c>
      <c r="I74" s="67" t="str">
        <f>VLOOKUP(D74,基础数据表!A:G,5,FALSE)</f>
        <v>32Ω</v>
      </c>
      <c r="J74" s="67" t="str">
        <f>VLOOKUP(D74,基础数据表!A:G,6,FALSE)</f>
        <v>支</v>
      </c>
      <c r="K74" s="73">
        <v>450</v>
      </c>
      <c r="L74" s="67">
        <f>VLOOKUP(D74,基础数据表!A:G,7,FALSE)</f>
        <v>0.33</v>
      </c>
      <c r="M74" s="74">
        <f t="shared" si="2"/>
        <v>148.5</v>
      </c>
    </row>
    <row r="75" spans="2:13">
      <c r="B75" s="66">
        <v>6</v>
      </c>
      <c r="C75" s="67">
        <v>8</v>
      </c>
      <c r="D75" s="69" t="s">
        <v>17</v>
      </c>
      <c r="E75" s="67" t="str">
        <f>VLOOKUP(D75,基础数据表!A:G,2,FALSE)</f>
        <v>三河集团</v>
      </c>
      <c r="F75" s="67"/>
      <c r="G75" s="67" t="str">
        <f>VLOOKUP(D75,基础数据表!A:G,3,FALSE)</f>
        <v>DZ0003</v>
      </c>
      <c r="H75" s="67" t="str">
        <f>VLOOKUP(D75,基础数据表!A:G,4,FALSE)</f>
        <v>电阻</v>
      </c>
      <c r="I75" s="67" t="str">
        <f>VLOOKUP(D75,基础数据表!A:G,5,FALSE)</f>
        <v>100Ω</v>
      </c>
      <c r="J75" s="67" t="str">
        <f>VLOOKUP(D75,基础数据表!A:G,6,FALSE)</f>
        <v>支</v>
      </c>
      <c r="K75" s="69">
        <v>3500</v>
      </c>
      <c r="L75" s="67">
        <f>VLOOKUP(D75,基础数据表!A:G,7,FALSE)</f>
        <v>0.58</v>
      </c>
      <c r="M75" s="74">
        <f t="shared" si="2"/>
        <v>2030</v>
      </c>
    </row>
    <row r="76" spans="2:13">
      <c r="B76" s="66">
        <v>6</v>
      </c>
      <c r="C76" s="70">
        <v>13</v>
      </c>
      <c r="D76" s="69" t="s">
        <v>17</v>
      </c>
      <c r="E76" s="67" t="str">
        <f>VLOOKUP(D76,基础数据表!A:G,2,FALSE)</f>
        <v>三河集团</v>
      </c>
      <c r="F76" s="67"/>
      <c r="G76" s="67" t="str">
        <f>VLOOKUP(D76,基础数据表!A:G,3,FALSE)</f>
        <v>DZ0003</v>
      </c>
      <c r="H76" s="67" t="str">
        <f>VLOOKUP(D76,基础数据表!A:G,4,FALSE)</f>
        <v>电阻</v>
      </c>
      <c r="I76" s="67" t="str">
        <f>VLOOKUP(D76,基础数据表!A:G,5,FALSE)</f>
        <v>100Ω</v>
      </c>
      <c r="J76" s="67" t="str">
        <f>VLOOKUP(D76,基础数据表!A:G,6,FALSE)</f>
        <v>支</v>
      </c>
      <c r="K76" s="69">
        <v>1200</v>
      </c>
      <c r="L76" s="67">
        <f>VLOOKUP(D76,基础数据表!A:G,7,FALSE)</f>
        <v>0.58</v>
      </c>
      <c r="M76" s="74">
        <f t="shared" si="2"/>
        <v>696</v>
      </c>
    </row>
    <row r="77" spans="2:13">
      <c r="B77" s="66">
        <v>6</v>
      </c>
      <c r="C77" s="70">
        <v>18</v>
      </c>
      <c r="D77" s="69" t="s">
        <v>17</v>
      </c>
      <c r="E77" s="67" t="str">
        <f>VLOOKUP(D77,基础数据表!A:G,2,FALSE)</f>
        <v>三河集团</v>
      </c>
      <c r="F77" s="67"/>
      <c r="G77" s="67" t="str">
        <f>VLOOKUP(D77,基础数据表!A:G,3,FALSE)</f>
        <v>DZ0003</v>
      </c>
      <c r="H77" s="67" t="str">
        <f>VLOOKUP(D77,基础数据表!A:G,4,FALSE)</f>
        <v>电阻</v>
      </c>
      <c r="I77" s="67" t="str">
        <f>VLOOKUP(D77,基础数据表!A:G,5,FALSE)</f>
        <v>100Ω</v>
      </c>
      <c r="J77" s="67" t="str">
        <f>VLOOKUP(D77,基础数据表!A:G,6,FALSE)</f>
        <v>支</v>
      </c>
      <c r="K77" s="73">
        <v>620</v>
      </c>
      <c r="L77" s="67">
        <f>VLOOKUP(D77,基础数据表!A:G,7,FALSE)</f>
        <v>0.58</v>
      </c>
      <c r="M77" s="74">
        <f t="shared" si="2"/>
        <v>359.6</v>
      </c>
    </row>
    <row r="78" spans="2:13">
      <c r="B78" s="66">
        <v>6</v>
      </c>
      <c r="C78" s="70">
        <v>25</v>
      </c>
      <c r="D78" s="69" t="s">
        <v>17</v>
      </c>
      <c r="E78" s="67" t="str">
        <f>VLOOKUP(D78,基础数据表!A:G,2,FALSE)</f>
        <v>三河集团</v>
      </c>
      <c r="F78" s="67"/>
      <c r="G78" s="67" t="str">
        <f>VLOOKUP(D78,基础数据表!A:G,3,FALSE)</f>
        <v>DZ0003</v>
      </c>
      <c r="H78" s="67" t="str">
        <f>VLOOKUP(D78,基础数据表!A:G,4,FALSE)</f>
        <v>电阻</v>
      </c>
      <c r="I78" s="67" t="str">
        <f>VLOOKUP(D78,基础数据表!A:G,5,FALSE)</f>
        <v>100Ω</v>
      </c>
      <c r="J78" s="67" t="str">
        <f>VLOOKUP(D78,基础数据表!A:G,6,FALSE)</f>
        <v>支</v>
      </c>
      <c r="K78" s="73">
        <v>6020</v>
      </c>
      <c r="L78" s="67">
        <f>VLOOKUP(D78,基础数据表!A:G,7,FALSE)</f>
        <v>0.58</v>
      </c>
      <c r="M78" s="74">
        <f t="shared" si="2"/>
        <v>3491.6</v>
      </c>
    </row>
    <row r="79" spans="2:13">
      <c r="B79" s="66">
        <v>6</v>
      </c>
      <c r="C79" s="67">
        <v>7</v>
      </c>
      <c r="D79" s="69" t="s">
        <v>14</v>
      </c>
      <c r="E79" s="67" t="str">
        <f>VLOOKUP(D79,基础数据表!A:G,2,FALSE)</f>
        <v>新为电子</v>
      </c>
      <c r="F79" s="67"/>
      <c r="G79" s="67" t="str">
        <f>VLOOKUP(D79,基础数据表!A:G,3,FALSE)</f>
        <v>DZ0002</v>
      </c>
      <c r="H79" s="67" t="str">
        <f>VLOOKUP(D79,基础数据表!A:G,4,FALSE)</f>
        <v>电阻</v>
      </c>
      <c r="I79" s="67" t="str">
        <f>VLOOKUP(D79,基础数据表!A:G,5,FALSE)</f>
        <v>32Ω</v>
      </c>
      <c r="J79" s="67" t="str">
        <f>VLOOKUP(D79,基础数据表!A:G,6,FALSE)</f>
        <v>支</v>
      </c>
      <c r="K79" s="73">
        <v>500</v>
      </c>
      <c r="L79" s="67">
        <f>VLOOKUP(D79,基础数据表!A:G,7,FALSE)</f>
        <v>0.33</v>
      </c>
      <c r="M79" s="74">
        <f t="shared" si="2"/>
        <v>165</v>
      </c>
    </row>
    <row r="80" spans="2:13">
      <c r="B80" s="66">
        <v>6</v>
      </c>
      <c r="C80" s="70">
        <v>18</v>
      </c>
      <c r="D80" s="69" t="s">
        <v>69</v>
      </c>
      <c r="E80" s="67" t="str">
        <f>VLOOKUP(D80,基础数据表!A:G,2,FALSE)</f>
        <v>志邦</v>
      </c>
      <c r="F80" s="67"/>
      <c r="G80" s="67" t="str">
        <f>VLOOKUP(D80,基础数据表!A:G,3,FALSE)</f>
        <v>JCK004</v>
      </c>
      <c r="H80" s="67" t="str">
        <f>VLOOKUP(D80,基础数据表!A:G,4,FALSE)</f>
        <v>集成块</v>
      </c>
      <c r="I80" s="67" t="str">
        <f>VLOOKUP(D80,基础数据表!A:G,5,FALSE)</f>
        <v>AEu8152</v>
      </c>
      <c r="J80" s="67" t="str">
        <f>VLOOKUP(D80,基础数据表!A:G,6,FALSE)</f>
        <v>支</v>
      </c>
      <c r="K80" s="69">
        <v>1000</v>
      </c>
      <c r="L80" s="67">
        <f>VLOOKUP(D80,基础数据表!A:G,7,FALSE)</f>
        <v>320</v>
      </c>
      <c r="M80" s="74">
        <f t="shared" si="2"/>
        <v>320000</v>
      </c>
    </row>
    <row r="81" spans="2:13">
      <c r="B81" s="66">
        <v>6</v>
      </c>
      <c r="C81" s="70">
        <v>25</v>
      </c>
      <c r="D81" s="69" t="s">
        <v>69</v>
      </c>
      <c r="E81" s="67" t="str">
        <f>VLOOKUP(D81,基础数据表!A:G,2,FALSE)</f>
        <v>志邦</v>
      </c>
      <c r="F81" s="67"/>
      <c r="G81" s="67" t="str">
        <f>VLOOKUP(D81,基础数据表!A:G,3,FALSE)</f>
        <v>JCK004</v>
      </c>
      <c r="H81" s="67" t="str">
        <f>VLOOKUP(D81,基础数据表!A:G,4,FALSE)</f>
        <v>集成块</v>
      </c>
      <c r="I81" s="67" t="str">
        <f>VLOOKUP(D81,基础数据表!A:G,5,FALSE)</f>
        <v>AEu8152</v>
      </c>
      <c r="J81" s="67" t="str">
        <f>VLOOKUP(D81,基础数据表!A:G,6,FALSE)</f>
        <v>支</v>
      </c>
      <c r="K81" s="73">
        <v>200</v>
      </c>
      <c r="L81" s="67">
        <f>VLOOKUP(D81,基础数据表!A:G,7,FALSE)</f>
        <v>320</v>
      </c>
      <c r="M81" s="74">
        <f t="shared" si="2"/>
        <v>64000</v>
      </c>
    </row>
    <row r="82" spans="2:13">
      <c r="B82" s="66">
        <v>6</v>
      </c>
      <c r="C82" s="70">
        <v>25</v>
      </c>
      <c r="D82" s="69" t="s">
        <v>69</v>
      </c>
      <c r="E82" s="67" t="str">
        <f>VLOOKUP(D82,基础数据表!A:G,2,FALSE)</f>
        <v>志邦</v>
      </c>
      <c r="F82" s="67"/>
      <c r="G82" s="67" t="str">
        <f>VLOOKUP(D82,基础数据表!A:G,3,FALSE)</f>
        <v>JCK004</v>
      </c>
      <c r="H82" s="67" t="str">
        <f>VLOOKUP(D82,基础数据表!A:G,4,FALSE)</f>
        <v>集成块</v>
      </c>
      <c r="I82" s="67" t="str">
        <f>VLOOKUP(D82,基础数据表!A:G,5,FALSE)</f>
        <v>AEu8152</v>
      </c>
      <c r="J82" s="67" t="str">
        <f>VLOOKUP(D82,基础数据表!A:G,6,FALSE)</f>
        <v>支</v>
      </c>
      <c r="K82" s="73">
        <v>5600</v>
      </c>
      <c r="L82" s="67">
        <f>VLOOKUP(D82,基础数据表!A:G,7,FALSE)</f>
        <v>320</v>
      </c>
      <c r="M82" s="74">
        <f t="shared" si="2"/>
        <v>1792000</v>
      </c>
    </row>
    <row r="83" spans="2:13">
      <c r="B83" s="66">
        <v>6</v>
      </c>
      <c r="C83" s="70">
        <v>27</v>
      </c>
      <c r="D83" s="69" t="s">
        <v>69</v>
      </c>
      <c r="E83" s="67" t="str">
        <f>VLOOKUP(D83,基础数据表!A:G,2,FALSE)</f>
        <v>志邦</v>
      </c>
      <c r="F83" s="67"/>
      <c r="G83" s="67" t="str">
        <f>VLOOKUP(D83,基础数据表!A:G,3,FALSE)</f>
        <v>JCK004</v>
      </c>
      <c r="H83" s="67" t="str">
        <f>VLOOKUP(D83,基础数据表!A:G,4,FALSE)</f>
        <v>集成块</v>
      </c>
      <c r="I83" s="67" t="str">
        <f>VLOOKUP(D83,基础数据表!A:G,5,FALSE)</f>
        <v>AEu8152</v>
      </c>
      <c r="J83" s="67" t="str">
        <f>VLOOKUP(D83,基础数据表!A:G,6,FALSE)</f>
        <v>支</v>
      </c>
      <c r="K83" s="73">
        <v>100</v>
      </c>
      <c r="L83" s="67">
        <f>VLOOKUP(D83,基础数据表!A:G,7,FALSE)</f>
        <v>320</v>
      </c>
      <c r="M83" s="74">
        <f t="shared" si="2"/>
        <v>32000</v>
      </c>
    </row>
    <row r="84" ht="14.75" spans="2:13">
      <c r="B84" s="75"/>
      <c r="C84" s="76"/>
      <c r="D84" s="77"/>
      <c r="E84" s="77"/>
      <c r="F84" s="77"/>
      <c r="G84" s="78"/>
      <c r="H84" s="77"/>
      <c r="I84" s="77"/>
      <c r="J84" s="78"/>
      <c r="K84" s="77"/>
      <c r="L84" s="77"/>
      <c r="M84" s="79"/>
    </row>
    <row r="85" spans="7:10">
      <c r="G85" s="58"/>
      <c r="J85" s="58"/>
    </row>
    <row r="86" spans="7:10">
      <c r="G86" s="58"/>
      <c r="J86" s="58"/>
    </row>
    <row r="87" spans="7:10">
      <c r="G87" s="58"/>
      <c r="J87" s="58"/>
    </row>
    <row r="88" spans="7:7">
      <c r="G88" s="58"/>
    </row>
    <row r="89" spans="7:7">
      <c r="G89" s="58"/>
    </row>
    <row r="90" spans="7:7">
      <c r="G90" s="58"/>
    </row>
    <row r="91" spans="7:7">
      <c r="G91" s="58"/>
    </row>
  </sheetData>
  <sortState ref="B5:M84">
    <sortCondition ref="E5:E84"/>
    <sortCondition ref="H5:H84"/>
  </sortState>
  <mergeCells count="1">
    <mergeCell ref="B1:M1"/>
  </mergeCells>
  <dataValidations count="2">
    <dataValidation type="list" allowBlank="1" showInputMessage="1" showErrorMessage="1" sqref="D4:D83">
      <formula1>供应商编号</formula1>
    </dataValidation>
    <dataValidation type="list" allowBlank="1" showInputMessage="1" showErrorMessage="1" sqref="G85:G91">
      <formula1>材料编码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0"/>
  <sheetViews>
    <sheetView topLeftCell="A22" workbookViewId="0">
      <selection activeCell="O6" sqref="O6"/>
    </sheetView>
  </sheetViews>
  <sheetFormatPr defaultColWidth="9" defaultRowHeight="14"/>
  <cols>
    <col min="1" max="2" width="3.75454545454545" customWidth="1"/>
    <col min="3" max="3" width="8.37272727272727" customWidth="1"/>
    <col min="4" max="4" width="9.87272727272727" customWidth="1"/>
    <col min="5" max="5" width="12.7545454545455" customWidth="1"/>
    <col min="6" max="6" width="11" customWidth="1"/>
    <col min="10" max="10" width="10.7545454545455" customWidth="1"/>
    <col min="11" max="11" width="13.3727272727273" customWidth="1"/>
    <col min="13" max="13" width="13" customWidth="1"/>
  </cols>
  <sheetData>
    <row r="1" ht="56.25" customHeight="1" spans="1:13">
      <c r="A1" s="46" t="s">
        <v>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="1" customFormat="1" ht="17.25" customHeight="1" spans="12:13">
      <c r="L2" s="1" t="s">
        <v>95</v>
      </c>
      <c r="M2" s="55">
        <f>SUBTOTAL(9,M5:M500)</f>
        <v>189242.78</v>
      </c>
    </row>
    <row r="3" ht="5.25" customHeight="1"/>
    <row r="4" ht="22.5" customHeight="1" spans="1:13">
      <c r="A4" s="47" t="s">
        <v>86</v>
      </c>
      <c r="B4" s="47" t="s">
        <v>87</v>
      </c>
      <c r="C4" s="47" t="s">
        <v>96</v>
      </c>
      <c r="D4" s="48" t="s">
        <v>97</v>
      </c>
      <c r="E4" s="49" t="s">
        <v>90</v>
      </c>
      <c r="F4" s="49" t="s">
        <v>3</v>
      </c>
      <c r="G4" s="50" t="s">
        <v>4</v>
      </c>
      <c r="H4" s="50" t="s">
        <v>5</v>
      </c>
      <c r="I4" s="50" t="s">
        <v>6</v>
      </c>
      <c r="J4" s="50" t="s">
        <v>98</v>
      </c>
      <c r="K4" s="50" t="s">
        <v>99</v>
      </c>
      <c r="L4" s="50" t="s">
        <v>100</v>
      </c>
      <c r="M4" s="50" t="s">
        <v>93</v>
      </c>
    </row>
    <row r="5" s="1" customFormat="1" ht="13" spans="1:13">
      <c r="A5" s="51">
        <v>6</v>
      </c>
      <c r="B5" s="51">
        <v>1</v>
      </c>
      <c r="C5" s="51" t="s">
        <v>101</v>
      </c>
      <c r="D5" s="52" t="s">
        <v>102</v>
      </c>
      <c r="E5" s="51">
        <v>2012060001</v>
      </c>
      <c r="F5" s="51" t="s">
        <v>10</v>
      </c>
      <c r="G5" s="52" t="s">
        <v>11</v>
      </c>
      <c r="H5" s="52" t="s">
        <v>103</v>
      </c>
      <c r="I5" s="52" t="s">
        <v>13</v>
      </c>
      <c r="J5" s="51">
        <v>2000</v>
      </c>
      <c r="K5" s="52">
        <f>J5</f>
        <v>2000</v>
      </c>
      <c r="L5" s="52">
        <v>0.25</v>
      </c>
      <c r="M5" s="56">
        <f>IF(F5="","",ROUND(K5*L5,2))</f>
        <v>500</v>
      </c>
    </row>
    <row r="6" s="1" customFormat="1" ht="13" spans="1:13">
      <c r="A6" s="51">
        <v>6</v>
      </c>
      <c r="B6" s="51">
        <v>1</v>
      </c>
      <c r="C6" s="51" t="s">
        <v>101</v>
      </c>
      <c r="D6" s="52" t="s">
        <v>102</v>
      </c>
      <c r="E6" s="51">
        <v>2012060001</v>
      </c>
      <c r="F6" s="51" t="s">
        <v>15</v>
      </c>
      <c r="G6" s="52" t="s">
        <v>11</v>
      </c>
      <c r="H6" s="52" t="s">
        <v>104</v>
      </c>
      <c r="I6" s="52" t="s">
        <v>13</v>
      </c>
      <c r="J6" s="51">
        <v>7500</v>
      </c>
      <c r="K6" s="52">
        <f t="shared" ref="K6:K49" si="0">J6</f>
        <v>7500</v>
      </c>
      <c r="L6" s="52">
        <v>0.33</v>
      </c>
      <c r="M6" s="56">
        <f t="shared" ref="M6:M49" si="1">IF(F6="","",ROUND(K6*L6,2))</f>
        <v>2475</v>
      </c>
    </row>
    <row r="7" s="1" customFormat="1" ht="13" spans="1:13">
      <c r="A7" s="51">
        <v>6</v>
      </c>
      <c r="B7" s="51">
        <v>1</v>
      </c>
      <c r="C7" s="51" t="s">
        <v>101</v>
      </c>
      <c r="D7" s="52" t="s">
        <v>102</v>
      </c>
      <c r="E7" s="51">
        <v>2012060001</v>
      </c>
      <c r="F7" s="51" t="s">
        <v>19</v>
      </c>
      <c r="G7" s="52" t="s">
        <v>11</v>
      </c>
      <c r="H7" s="52" t="s">
        <v>105</v>
      </c>
      <c r="I7" s="52" t="s">
        <v>13</v>
      </c>
      <c r="J7" s="51">
        <v>800</v>
      </c>
      <c r="K7" s="52">
        <f t="shared" si="0"/>
        <v>800</v>
      </c>
      <c r="L7" s="52">
        <v>0.58</v>
      </c>
      <c r="M7" s="56">
        <f t="shared" si="1"/>
        <v>464</v>
      </c>
    </row>
    <row r="8" s="1" customFormat="1" ht="13" spans="1:13">
      <c r="A8" s="51">
        <v>6</v>
      </c>
      <c r="B8" s="51">
        <v>1</v>
      </c>
      <c r="C8" s="51" t="s">
        <v>101</v>
      </c>
      <c r="D8" s="52" t="s">
        <v>102</v>
      </c>
      <c r="E8" s="51">
        <v>2012060001</v>
      </c>
      <c r="F8" s="51" t="s">
        <v>23</v>
      </c>
      <c r="G8" s="52" t="s">
        <v>11</v>
      </c>
      <c r="H8" s="52" t="s">
        <v>106</v>
      </c>
      <c r="I8" s="52" t="s">
        <v>13</v>
      </c>
      <c r="J8" s="51">
        <v>1200</v>
      </c>
      <c r="K8" s="52">
        <f t="shared" si="0"/>
        <v>1200</v>
      </c>
      <c r="L8" s="52">
        <v>0.89</v>
      </c>
      <c r="M8" s="56">
        <f t="shared" si="1"/>
        <v>1068</v>
      </c>
    </row>
    <row r="9" s="1" customFormat="1" ht="13" spans="1:13">
      <c r="A9" s="51">
        <v>6</v>
      </c>
      <c r="B9" s="51">
        <v>1</v>
      </c>
      <c r="C9" s="51" t="s">
        <v>101</v>
      </c>
      <c r="D9" s="52" t="s">
        <v>102</v>
      </c>
      <c r="E9" s="51">
        <v>2012060001</v>
      </c>
      <c r="F9" s="51" t="s">
        <v>27</v>
      </c>
      <c r="G9" s="52" t="s">
        <v>11</v>
      </c>
      <c r="H9" s="52" t="s">
        <v>107</v>
      </c>
      <c r="I9" s="52" t="s">
        <v>13</v>
      </c>
      <c r="J9" s="51">
        <v>500</v>
      </c>
      <c r="K9" s="52">
        <f t="shared" si="0"/>
        <v>500</v>
      </c>
      <c r="L9" s="52">
        <v>0.21</v>
      </c>
      <c r="M9" s="56">
        <f t="shared" si="1"/>
        <v>105</v>
      </c>
    </row>
    <row r="10" s="1" customFormat="1" ht="13" spans="1:13">
      <c r="A10" s="51">
        <v>6</v>
      </c>
      <c r="B10" s="51">
        <v>1</v>
      </c>
      <c r="C10" s="51" t="s">
        <v>101</v>
      </c>
      <c r="D10" s="52" t="s">
        <v>102</v>
      </c>
      <c r="E10" s="51">
        <v>2012060001</v>
      </c>
      <c r="F10" s="51" t="s">
        <v>30</v>
      </c>
      <c r="G10" s="52" t="s">
        <v>11</v>
      </c>
      <c r="H10" s="52" t="s">
        <v>108</v>
      </c>
      <c r="I10" s="52" t="s">
        <v>13</v>
      </c>
      <c r="J10" s="51">
        <v>300</v>
      </c>
      <c r="K10" s="52">
        <f t="shared" si="0"/>
        <v>300</v>
      </c>
      <c r="L10" s="52">
        <v>0.36</v>
      </c>
      <c r="M10" s="56">
        <f t="shared" si="1"/>
        <v>108</v>
      </c>
    </row>
    <row r="11" s="1" customFormat="1" ht="13" spans="1:13">
      <c r="A11" s="51">
        <v>6</v>
      </c>
      <c r="B11" s="51">
        <v>5</v>
      </c>
      <c r="C11" s="51" t="s">
        <v>109</v>
      </c>
      <c r="D11" s="52" t="s">
        <v>110</v>
      </c>
      <c r="E11" s="51">
        <v>2012060001</v>
      </c>
      <c r="F11" s="51" t="s">
        <v>34</v>
      </c>
      <c r="G11" s="52" t="s">
        <v>35</v>
      </c>
      <c r="H11" s="52" t="s">
        <v>36</v>
      </c>
      <c r="I11" s="52" t="s">
        <v>13</v>
      </c>
      <c r="J11" s="51">
        <v>200</v>
      </c>
      <c r="K11" s="52">
        <f t="shared" si="0"/>
        <v>200</v>
      </c>
      <c r="L11" s="52">
        <v>0.78</v>
      </c>
      <c r="M11" s="56">
        <f t="shared" si="1"/>
        <v>156</v>
      </c>
    </row>
    <row r="12" s="1" customFormat="1" ht="13" spans="1:13">
      <c r="A12" s="51">
        <v>6</v>
      </c>
      <c r="B12" s="51">
        <v>5</v>
      </c>
      <c r="C12" s="51" t="s">
        <v>111</v>
      </c>
      <c r="D12" s="52" t="s">
        <v>112</v>
      </c>
      <c r="E12" s="51">
        <v>2012060001</v>
      </c>
      <c r="F12" s="51" t="s">
        <v>39</v>
      </c>
      <c r="G12" s="52" t="s">
        <v>35</v>
      </c>
      <c r="H12" s="52" t="s">
        <v>40</v>
      </c>
      <c r="I12" s="52" t="s">
        <v>13</v>
      </c>
      <c r="J12" s="51">
        <v>100</v>
      </c>
      <c r="K12" s="52">
        <f t="shared" si="0"/>
        <v>100</v>
      </c>
      <c r="L12" s="52">
        <v>0.65</v>
      </c>
      <c r="M12" s="56">
        <f t="shared" si="1"/>
        <v>65</v>
      </c>
    </row>
    <row r="13" s="1" customFormat="1" ht="13" spans="1:13">
      <c r="A13" s="51">
        <v>6</v>
      </c>
      <c r="B13" s="51">
        <v>10</v>
      </c>
      <c r="C13" s="51" t="s">
        <v>109</v>
      </c>
      <c r="D13" s="52" t="s">
        <v>110</v>
      </c>
      <c r="E13" s="51">
        <v>2012060001</v>
      </c>
      <c r="F13" s="51" t="s">
        <v>43</v>
      </c>
      <c r="G13" s="52" t="s">
        <v>35</v>
      </c>
      <c r="H13" s="52" t="s">
        <v>44</v>
      </c>
      <c r="I13" s="52" t="s">
        <v>13</v>
      </c>
      <c r="J13" s="51">
        <v>520</v>
      </c>
      <c r="K13" s="52">
        <f t="shared" si="0"/>
        <v>520</v>
      </c>
      <c r="L13" s="52">
        <v>0.75</v>
      </c>
      <c r="M13" s="56">
        <f t="shared" si="1"/>
        <v>390</v>
      </c>
    </row>
    <row r="14" s="1" customFormat="1" ht="13" spans="1:13">
      <c r="A14" s="51">
        <v>6</v>
      </c>
      <c r="B14" s="51">
        <v>10</v>
      </c>
      <c r="C14" s="51" t="s">
        <v>111</v>
      </c>
      <c r="D14" s="52" t="s">
        <v>112</v>
      </c>
      <c r="E14" s="51">
        <v>2012060001</v>
      </c>
      <c r="F14" s="51" t="s">
        <v>47</v>
      </c>
      <c r="G14" s="52" t="s">
        <v>35</v>
      </c>
      <c r="H14" s="52" t="s">
        <v>48</v>
      </c>
      <c r="I14" s="52" t="s">
        <v>13</v>
      </c>
      <c r="J14" s="51">
        <v>620</v>
      </c>
      <c r="K14" s="52">
        <f t="shared" si="0"/>
        <v>620</v>
      </c>
      <c r="L14" s="52">
        <v>0.85</v>
      </c>
      <c r="M14" s="56">
        <f t="shared" si="1"/>
        <v>527</v>
      </c>
    </row>
    <row r="15" s="1" customFormat="1" ht="13" spans="1:13">
      <c r="A15" s="51">
        <v>6</v>
      </c>
      <c r="B15" s="51">
        <v>10</v>
      </c>
      <c r="C15" s="51" t="s">
        <v>109</v>
      </c>
      <c r="D15" s="52" t="s">
        <v>110</v>
      </c>
      <c r="E15" s="51">
        <v>2012060001</v>
      </c>
      <c r="F15" s="51" t="s">
        <v>50</v>
      </c>
      <c r="G15" s="52" t="s">
        <v>35</v>
      </c>
      <c r="H15" s="52" t="s">
        <v>51</v>
      </c>
      <c r="I15" s="52" t="s">
        <v>13</v>
      </c>
      <c r="J15" s="51">
        <v>400</v>
      </c>
      <c r="K15" s="52">
        <f t="shared" si="0"/>
        <v>400</v>
      </c>
      <c r="L15" s="52">
        <v>0.9</v>
      </c>
      <c r="M15" s="56">
        <f t="shared" si="1"/>
        <v>360</v>
      </c>
    </row>
    <row r="16" s="1" customFormat="1" ht="13" spans="1:13">
      <c r="A16" s="51">
        <v>6</v>
      </c>
      <c r="B16" s="51">
        <v>10</v>
      </c>
      <c r="C16" s="51" t="s">
        <v>111</v>
      </c>
      <c r="D16" s="52" t="s">
        <v>112</v>
      </c>
      <c r="E16" s="51">
        <v>2012060001</v>
      </c>
      <c r="F16" s="51" t="s">
        <v>54</v>
      </c>
      <c r="G16" s="52" t="s">
        <v>35</v>
      </c>
      <c r="H16" s="52" t="s">
        <v>55</v>
      </c>
      <c r="I16" s="52" t="s">
        <v>13</v>
      </c>
      <c r="J16" s="51">
        <v>500</v>
      </c>
      <c r="K16" s="52">
        <f t="shared" si="0"/>
        <v>500</v>
      </c>
      <c r="L16" s="52">
        <v>0.55</v>
      </c>
      <c r="M16" s="56">
        <f t="shared" si="1"/>
        <v>275</v>
      </c>
    </row>
    <row r="17" s="1" customFormat="1" ht="13" spans="1:13">
      <c r="A17" s="51">
        <v>6</v>
      </c>
      <c r="B17" s="51">
        <v>10</v>
      </c>
      <c r="C17" s="51" t="s">
        <v>113</v>
      </c>
      <c r="D17" s="52" t="s">
        <v>114</v>
      </c>
      <c r="E17" s="51">
        <v>2012060001</v>
      </c>
      <c r="F17" s="51" t="s">
        <v>58</v>
      </c>
      <c r="G17" s="52" t="s">
        <v>59</v>
      </c>
      <c r="H17" s="52" t="s">
        <v>60</v>
      </c>
      <c r="I17" s="52" t="s">
        <v>13</v>
      </c>
      <c r="J17" s="51">
        <v>300</v>
      </c>
      <c r="K17" s="52">
        <f t="shared" si="0"/>
        <v>300</v>
      </c>
      <c r="L17" s="52">
        <v>58.5</v>
      </c>
      <c r="M17" s="56">
        <f t="shared" si="1"/>
        <v>17550</v>
      </c>
    </row>
    <row r="18" s="1" customFormat="1" ht="13" spans="1:13">
      <c r="A18" s="51">
        <v>6</v>
      </c>
      <c r="B18" s="51">
        <v>10</v>
      </c>
      <c r="C18" s="51" t="s">
        <v>113</v>
      </c>
      <c r="D18" s="52" t="s">
        <v>114</v>
      </c>
      <c r="E18" s="51">
        <v>2012060001</v>
      </c>
      <c r="F18" s="51" t="s">
        <v>63</v>
      </c>
      <c r="G18" s="52" t="s">
        <v>59</v>
      </c>
      <c r="H18" s="52" t="s">
        <v>64</v>
      </c>
      <c r="I18" s="52" t="s">
        <v>13</v>
      </c>
      <c r="J18" s="51">
        <v>200</v>
      </c>
      <c r="K18" s="52">
        <f t="shared" si="0"/>
        <v>200</v>
      </c>
      <c r="L18" s="52">
        <v>75.6</v>
      </c>
      <c r="M18" s="56">
        <f t="shared" si="1"/>
        <v>15120</v>
      </c>
    </row>
    <row r="19" s="1" customFormat="1" ht="13" spans="1:13">
      <c r="A19" s="51">
        <v>6</v>
      </c>
      <c r="B19" s="51">
        <v>10</v>
      </c>
      <c r="C19" s="51" t="s">
        <v>113</v>
      </c>
      <c r="D19" s="52" t="s">
        <v>114</v>
      </c>
      <c r="E19" s="51">
        <v>2012060001</v>
      </c>
      <c r="F19" s="51" t="s">
        <v>67</v>
      </c>
      <c r="G19" s="52" t="s">
        <v>59</v>
      </c>
      <c r="H19" s="52" t="s">
        <v>68</v>
      </c>
      <c r="I19" s="52" t="s">
        <v>13</v>
      </c>
      <c r="J19" s="51">
        <v>200</v>
      </c>
      <c r="K19" s="52">
        <f t="shared" si="0"/>
        <v>200</v>
      </c>
      <c r="L19" s="52">
        <v>124.85</v>
      </c>
      <c r="M19" s="56">
        <f t="shared" si="1"/>
        <v>24970</v>
      </c>
    </row>
    <row r="20" s="1" customFormat="1" ht="13" spans="1:13">
      <c r="A20" s="51">
        <v>6</v>
      </c>
      <c r="B20" s="51">
        <v>10</v>
      </c>
      <c r="C20" s="51" t="s">
        <v>113</v>
      </c>
      <c r="D20" s="52" t="s">
        <v>114</v>
      </c>
      <c r="E20" s="51">
        <v>2012060001</v>
      </c>
      <c r="F20" s="51" t="s">
        <v>71</v>
      </c>
      <c r="G20" s="52" t="s">
        <v>59</v>
      </c>
      <c r="H20" s="52" t="s">
        <v>72</v>
      </c>
      <c r="I20" s="52" t="s">
        <v>13</v>
      </c>
      <c r="J20" s="51">
        <v>50</v>
      </c>
      <c r="K20" s="52">
        <f t="shared" si="0"/>
        <v>50</v>
      </c>
      <c r="L20" s="52">
        <v>320</v>
      </c>
      <c r="M20" s="56">
        <f t="shared" si="1"/>
        <v>16000</v>
      </c>
    </row>
    <row r="21" s="1" customFormat="1" ht="13" spans="1:13">
      <c r="A21" s="51">
        <v>6</v>
      </c>
      <c r="B21" s="51">
        <v>12</v>
      </c>
      <c r="C21" s="51" t="s">
        <v>113</v>
      </c>
      <c r="D21" s="52" t="s">
        <v>114</v>
      </c>
      <c r="E21" s="51">
        <v>2012060001</v>
      </c>
      <c r="F21" s="51" t="s">
        <v>75</v>
      </c>
      <c r="G21" s="52" t="s">
        <v>59</v>
      </c>
      <c r="H21" s="52" t="s">
        <v>76</v>
      </c>
      <c r="I21" s="52" t="s">
        <v>13</v>
      </c>
      <c r="J21" s="51">
        <v>15</v>
      </c>
      <c r="K21" s="52">
        <f t="shared" si="0"/>
        <v>15</v>
      </c>
      <c r="L21" s="52">
        <v>70</v>
      </c>
      <c r="M21" s="56">
        <f t="shared" si="1"/>
        <v>1050</v>
      </c>
    </row>
    <row r="22" s="1" customFormat="1" ht="13" spans="1:13">
      <c r="A22" s="51">
        <v>6</v>
      </c>
      <c r="B22" s="51">
        <v>12</v>
      </c>
      <c r="C22" s="51" t="s">
        <v>113</v>
      </c>
      <c r="D22" s="52" t="s">
        <v>114</v>
      </c>
      <c r="E22" s="51">
        <v>2012060001</v>
      </c>
      <c r="F22" s="51" t="s">
        <v>79</v>
      </c>
      <c r="G22" s="52" t="s">
        <v>59</v>
      </c>
      <c r="H22" s="52" t="s">
        <v>80</v>
      </c>
      <c r="I22" s="52" t="s">
        <v>13</v>
      </c>
      <c r="J22" s="51">
        <v>20</v>
      </c>
      <c r="K22" s="52">
        <f t="shared" si="0"/>
        <v>20</v>
      </c>
      <c r="L22" s="52">
        <v>185</v>
      </c>
      <c r="M22" s="56">
        <f t="shared" si="1"/>
        <v>3700</v>
      </c>
    </row>
    <row r="23" s="1" customFormat="1" ht="13" spans="1:13">
      <c r="A23" s="51">
        <v>6</v>
      </c>
      <c r="B23" s="51">
        <v>15</v>
      </c>
      <c r="C23" s="51" t="s">
        <v>113</v>
      </c>
      <c r="D23" s="52" t="s">
        <v>114</v>
      </c>
      <c r="E23" s="51">
        <v>2012060001</v>
      </c>
      <c r="F23" s="51" t="s">
        <v>83</v>
      </c>
      <c r="G23" s="52" t="s">
        <v>59</v>
      </c>
      <c r="H23" s="52" t="s">
        <v>84</v>
      </c>
      <c r="I23" s="52" t="s">
        <v>13</v>
      </c>
      <c r="J23" s="51">
        <v>66</v>
      </c>
      <c r="K23" s="52">
        <f t="shared" si="0"/>
        <v>66</v>
      </c>
      <c r="L23" s="52">
        <v>412.5</v>
      </c>
      <c r="M23" s="56">
        <f t="shared" si="1"/>
        <v>27225</v>
      </c>
    </row>
    <row r="24" s="1" customFormat="1" ht="13" spans="1:13">
      <c r="A24" s="51">
        <v>6</v>
      </c>
      <c r="B24" s="51">
        <v>15</v>
      </c>
      <c r="C24" s="51" t="s">
        <v>113</v>
      </c>
      <c r="D24" s="52" t="s">
        <v>114</v>
      </c>
      <c r="E24" s="51">
        <v>2012060001</v>
      </c>
      <c r="F24" s="51" t="s">
        <v>10</v>
      </c>
      <c r="G24" s="52" t="s">
        <v>11</v>
      </c>
      <c r="H24" s="52" t="s">
        <v>103</v>
      </c>
      <c r="I24" s="52" t="s">
        <v>13</v>
      </c>
      <c r="J24" s="51">
        <v>200</v>
      </c>
      <c r="K24" s="52">
        <f t="shared" si="0"/>
        <v>200</v>
      </c>
      <c r="L24" s="52">
        <v>0.25</v>
      </c>
      <c r="M24" s="56">
        <f t="shared" si="1"/>
        <v>50</v>
      </c>
    </row>
    <row r="25" s="1" customFormat="1" ht="13" spans="1:13">
      <c r="A25" s="51">
        <v>6</v>
      </c>
      <c r="B25" s="51">
        <v>15</v>
      </c>
      <c r="C25" s="51" t="s">
        <v>113</v>
      </c>
      <c r="D25" s="52" t="s">
        <v>114</v>
      </c>
      <c r="E25" s="51">
        <v>2012060001</v>
      </c>
      <c r="F25" s="51" t="s">
        <v>15</v>
      </c>
      <c r="G25" s="52" t="s">
        <v>11</v>
      </c>
      <c r="H25" s="52" t="s">
        <v>104</v>
      </c>
      <c r="I25" s="52" t="s">
        <v>13</v>
      </c>
      <c r="J25" s="51">
        <v>300</v>
      </c>
      <c r="K25" s="52">
        <f t="shared" si="0"/>
        <v>300</v>
      </c>
      <c r="L25" s="52">
        <v>0.33</v>
      </c>
      <c r="M25" s="56">
        <f t="shared" si="1"/>
        <v>99</v>
      </c>
    </row>
    <row r="26" s="1" customFormat="1" ht="13" spans="1:13">
      <c r="A26" s="51">
        <v>6</v>
      </c>
      <c r="B26" s="51">
        <v>15</v>
      </c>
      <c r="C26" s="51" t="s">
        <v>113</v>
      </c>
      <c r="D26" s="52" t="s">
        <v>114</v>
      </c>
      <c r="E26" s="51">
        <v>2012060001</v>
      </c>
      <c r="F26" s="51" t="s">
        <v>19</v>
      </c>
      <c r="G26" s="52" t="s">
        <v>11</v>
      </c>
      <c r="H26" s="52" t="s">
        <v>105</v>
      </c>
      <c r="I26" s="52" t="s">
        <v>13</v>
      </c>
      <c r="J26" s="51">
        <v>40</v>
      </c>
      <c r="K26" s="52">
        <f t="shared" si="0"/>
        <v>40</v>
      </c>
      <c r="L26" s="52">
        <v>0.58</v>
      </c>
      <c r="M26" s="56">
        <f t="shared" si="1"/>
        <v>23.2</v>
      </c>
    </row>
    <row r="27" s="1" customFormat="1" ht="13" spans="1:13">
      <c r="A27" s="51">
        <v>6</v>
      </c>
      <c r="B27" s="51">
        <v>15</v>
      </c>
      <c r="C27" s="51" t="s">
        <v>113</v>
      </c>
      <c r="D27" s="52" t="s">
        <v>114</v>
      </c>
      <c r="E27" s="51">
        <v>2012060001</v>
      </c>
      <c r="F27" s="51" t="s">
        <v>23</v>
      </c>
      <c r="G27" s="52" t="s">
        <v>11</v>
      </c>
      <c r="H27" s="52" t="s">
        <v>106</v>
      </c>
      <c r="I27" s="52" t="s">
        <v>13</v>
      </c>
      <c r="J27" s="51">
        <v>80</v>
      </c>
      <c r="K27" s="52">
        <f t="shared" si="0"/>
        <v>80</v>
      </c>
      <c r="L27" s="52">
        <v>0.89</v>
      </c>
      <c r="M27" s="56">
        <f t="shared" si="1"/>
        <v>71.2</v>
      </c>
    </row>
    <row r="28" s="1" customFormat="1" ht="13" spans="1:13">
      <c r="A28" s="51">
        <v>6</v>
      </c>
      <c r="B28" s="53">
        <v>19</v>
      </c>
      <c r="C28" s="51" t="s">
        <v>115</v>
      </c>
      <c r="D28" s="52" t="s">
        <v>116</v>
      </c>
      <c r="E28" s="51">
        <v>2012060001</v>
      </c>
      <c r="F28" s="51" t="s">
        <v>27</v>
      </c>
      <c r="G28" s="52" t="s">
        <v>11</v>
      </c>
      <c r="H28" s="52" t="s">
        <v>107</v>
      </c>
      <c r="I28" s="52" t="s">
        <v>13</v>
      </c>
      <c r="J28" s="53">
        <v>95</v>
      </c>
      <c r="K28" s="52">
        <f t="shared" si="0"/>
        <v>95</v>
      </c>
      <c r="L28" s="52">
        <v>0.21</v>
      </c>
      <c r="M28" s="56">
        <f t="shared" si="1"/>
        <v>19.95</v>
      </c>
    </row>
    <row r="29" s="1" customFormat="1" ht="13" spans="1:13">
      <c r="A29" s="51">
        <v>6</v>
      </c>
      <c r="B29" s="53">
        <v>19</v>
      </c>
      <c r="C29" s="51" t="s">
        <v>117</v>
      </c>
      <c r="D29" s="52" t="s">
        <v>118</v>
      </c>
      <c r="E29" s="51">
        <v>2012060001</v>
      </c>
      <c r="F29" s="51" t="s">
        <v>30</v>
      </c>
      <c r="G29" s="52" t="s">
        <v>11</v>
      </c>
      <c r="H29" s="52" t="s">
        <v>108</v>
      </c>
      <c r="I29" s="52" t="s">
        <v>13</v>
      </c>
      <c r="J29" s="53">
        <v>20</v>
      </c>
      <c r="K29" s="52">
        <f t="shared" si="0"/>
        <v>20</v>
      </c>
      <c r="L29" s="52">
        <v>0.36</v>
      </c>
      <c r="M29" s="56">
        <f t="shared" si="1"/>
        <v>7.2</v>
      </c>
    </row>
    <row r="30" s="1" customFormat="1" ht="13" spans="1:13">
      <c r="A30" s="51">
        <v>6</v>
      </c>
      <c r="B30" s="53">
        <v>19</v>
      </c>
      <c r="C30" s="51" t="s">
        <v>119</v>
      </c>
      <c r="D30" s="52" t="s">
        <v>120</v>
      </c>
      <c r="E30" s="51">
        <v>2012060001</v>
      </c>
      <c r="F30" s="51" t="s">
        <v>34</v>
      </c>
      <c r="G30" s="52" t="s">
        <v>35</v>
      </c>
      <c r="H30" s="52" t="s">
        <v>36</v>
      </c>
      <c r="I30" s="52" t="s">
        <v>13</v>
      </c>
      <c r="J30" s="53">
        <v>10</v>
      </c>
      <c r="K30" s="52">
        <f t="shared" si="0"/>
        <v>10</v>
      </c>
      <c r="L30" s="52">
        <v>0.78</v>
      </c>
      <c r="M30" s="56">
        <f t="shared" si="1"/>
        <v>7.8</v>
      </c>
    </row>
    <row r="31" s="1" customFormat="1" ht="13" spans="1:13">
      <c r="A31" s="51">
        <v>6</v>
      </c>
      <c r="B31" s="53">
        <v>19</v>
      </c>
      <c r="C31" s="51" t="s">
        <v>115</v>
      </c>
      <c r="D31" s="52" t="s">
        <v>116</v>
      </c>
      <c r="E31" s="51">
        <v>2012060001</v>
      </c>
      <c r="F31" s="51" t="s">
        <v>39</v>
      </c>
      <c r="G31" s="52" t="s">
        <v>35</v>
      </c>
      <c r="H31" s="52" t="s">
        <v>40</v>
      </c>
      <c r="I31" s="52" t="s">
        <v>13</v>
      </c>
      <c r="J31" s="53">
        <v>20</v>
      </c>
      <c r="K31" s="52">
        <f t="shared" si="0"/>
        <v>20</v>
      </c>
      <c r="L31" s="52">
        <v>0.65</v>
      </c>
      <c r="M31" s="56">
        <f t="shared" si="1"/>
        <v>13</v>
      </c>
    </row>
    <row r="32" s="1" customFormat="1" ht="13" spans="1:13">
      <c r="A32" s="51">
        <v>6</v>
      </c>
      <c r="B32" s="53">
        <v>19</v>
      </c>
      <c r="C32" s="51" t="s">
        <v>117</v>
      </c>
      <c r="D32" s="52" t="s">
        <v>118</v>
      </c>
      <c r="E32" s="51">
        <v>2012060001</v>
      </c>
      <c r="F32" s="51" t="s">
        <v>43</v>
      </c>
      <c r="G32" s="52" t="s">
        <v>35</v>
      </c>
      <c r="H32" s="52" t="s">
        <v>44</v>
      </c>
      <c r="I32" s="52" t="s">
        <v>13</v>
      </c>
      <c r="J32" s="53">
        <v>14</v>
      </c>
      <c r="K32" s="52">
        <f t="shared" si="0"/>
        <v>14</v>
      </c>
      <c r="L32" s="52">
        <v>0.75</v>
      </c>
      <c r="M32" s="56">
        <f t="shared" si="1"/>
        <v>10.5</v>
      </c>
    </row>
    <row r="33" s="1" customFormat="1" ht="13" spans="1:13">
      <c r="A33" s="51">
        <v>6</v>
      </c>
      <c r="B33" s="53">
        <v>19</v>
      </c>
      <c r="C33" s="51" t="s">
        <v>119</v>
      </c>
      <c r="D33" s="52" t="s">
        <v>120</v>
      </c>
      <c r="E33" s="51">
        <v>2012060001</v>
      </c>
      <c r="F33" s="51" t="s">
        <v>47</v>
      </c>
      <c r="G33" s="52" t="s">
        <v>35</v>
      </c>
      <c r="H33" s="52" t="s">
        <v>48</v>
      </c>
      <c r="I33" s="52" t="s">
        <v>13</v>
      </c>
      <c r="J33" s="53">
        <v>253</v>
      </c>
      <c r="K33" s="52">
        <f t="shared" si="0"/>
        <v>253</v>
      </c>
      <c r="L33" s="52">
        <v>0.85</v>
      </c>
      <c r="M33" s="56">
        <f t="shared" si="1"/>
        <v>215.05</v>
      </c>
    </row>
    <row r="34" s="1" customFormat="1" ht="13" spans="1:13">
      <c r="A34" s="51">
        <v>6</v>
      </c>
      <c r="B34" s="53">
        <v>19</v>
      </c>
      <c r="C34" s="51" t="s">
        <v>101</v>
      </c>
      <c r="D34" s="52" t="s">
        <v>102</v>
      </c>
      <c r="E34" s="51">
        <v>2012060001</v>
      </c>
      <c r="F34" s="51" t="s">
        <v>50</v>
      </c>
      <c r="G34" s="52" t="s">
        <v>35</v>
      </c>
      <c r="H34" s="52" t="s">
        <v>51</v>
      </c>
      <c r="I34" s="52" t="s">
        <v>13</v>
      </c>
      <c r="J34" s="53">
        <v>241</v>
      </c>
      <c r="K34" s="52">
        <f t="shared" si="0"/>
        <v>241</v>
      </c>
      <c r="L34" s="52">
        <v>0.9</v>
      </c>
      <c r="M34" s="56">
        <f t="shared" si="1"/>
        <v>216.9</v>
      </c>
    </row>
    <row r="35" s="1" customFormat="1" ht="13" spans="1:13">
      <c r="A35" s="51">
        <v>6</v>
      </c>
      <c r="B35" s="53">
        <v>19</v>
      </c>
      <c r="C35" s="51" t="s">
        <v>109</v>
      </c>
      <c r="D35" s="52" t="s">
        <v>110</v>
      </c>
      <c r="E35" s="51">
        <v>2012060001</v>
      </c>
      <c r="F35" s="51" t="s">
        <v>54</v>
      </c>
      <c r="G35" s="52" t="s">
        <v>35</v>
      </c>
      <c r="H35" s="52" t="s">
        <v>55</v>
      </c>
      <c r="I35" s="52" t="s">
        <v>13</v>
      </c>
      <c r="J35" s="53">
        <v>263</v>
      </c>
      <c r="K35" s="52">
        <f t="shared" si="0"/>
        <v>263</v>
      </c>
      <c r="L35" s="52">
        <v>0.55</v>
      </c>
      <c r="M35" s="56">
        <f t="shared" si="1"/>
        <v>144.65</v>
      </c>
    </row>
    <row r="36" s="1" customFormat="1" ht="13" spans="1:13">
      <c r="A36" s="51">
        <v>6</v>
      </c>
      <c r="B36" s="53">
        <v>23</v>
      </c>
      <c r="C36" s="51" t="s">
        <v>111</v>
      </c>
      <c r="D36" s="52" t="s">
        <v>112</v>
      </c>
      <c r="E36" s="51">
        <v>2012060001</v>
      </c>
      <c r="F36" s="51" t="s">
        <v>58</v>
      </c>
      <c r="G36" s="52" t="s">
        <v>59</v>
      </c>
      <c r="H36" s="52" t="s">
        <v>60</v>
      </c>
      <c r="I36" s="52" t="s">
        <v>13</v>
      </c>
      <c r="J36" s="53">
        <v>55</v>
      </c>
      <c r="K36" s="52">
        <f t="shared" si="0"/>
        <v>55</v>
      </c>
      <c r="L36" s="52">
        <v>58.5</v>
      </c>
      <c r="M36" s="56">
        <f t="shared" si="1"/>
        <v>3217.5</v>
      </c>
    </row>
    <row r="37" s="1" customFormat="1" ht="13" spans="1:13">
      <c r="A37" s="51">
        <v>6</v>
      </c>
      <c r="B37" s="53">
        <v>23</v>
      </c>
      <c r="C37" s="51" t="s">
        <v>113</v>
      </c>
      <c r="D37" s="52" t="s">
        <v>114</v>
      </c>
      <c r="E37" s="51">
        <v>2012060001</v>
      </c>
      <c r="F37" s="51" t="s">
        <v>63</v>
      </c>
      <c r="G37" s="52" t="s">
        <v>59</v>
      </c>
      <c r="H37" s="52" t="s">
        <v>64</v>
      </c>
      <c r="I37" s="52" t="s">
        <v>13</v>
      </c>
      <c r="J37" s="53">
        <v>78</v>
      </c>
      <c r="K37" s="52">
        <f t="shared" si="0"/>
        <v>78</v>
      </c>
      <c r="L37" s="52">
        <v>75.6</v>
      </c>
      <c r="M37" s="56">
        <f t="shared" si="1"/>
        <v>5896.8</v>
      </c>
    </row>
    <row r="38" s="1" customFormat="1" ht="13" spans="1:13">
      <c r="A38" s="51">
        <v>6</v>
      </c>
      <c r="B38" s="53">
        <v>25</v>
      </c>
      <c r="C38" s="51" t="s">
        <v>115</v>
      </c>
      <c r="D38" s="52" t="s">
        <v>116</v>
      </c>
      <c r="E38" s="51">
        <v>2012060001</v>
      </c>
      <c r="F38" s="51" t="s">
        <v>67</v>
      </c>
      <c r="G38" s="52" t="s">
        <v>59</v>
      </c>
      <c r="H38" s="52" t="s">
        <v>68</v>
      </c>
      <c r="I38" s="52" t="s">
        <v>13</v>
      </c>
      <c r="J38" s="53">
        <v>98</v>
      </c>
      <c r="K38" s="52">
        <f t="shared" si="0"/>
        <v>98</v>
      </c>
      <c r="L38" s="52">
        <v>124.85</v>
      </c>
      <c r="M38" s="56">
        <f t="shared" si="1"/>
        <v>12235.3</v>
      </c>
    </row>
    <row r="39" s="1" customFormat="1" ht="13" spans="1:13">
      <c r="A39" s="51">
        <v>6</v>
      </c>
      <c r="B39" s="53">
        <v>25</v>
      </c>
      <c r="C39" s="51" t="s">
        <v>117</v>
      </c>
      <c r="D39" s="52" t="s">
        <v>118</v>
      </c>
      <c r="E39" s="51">
        <v>2012060001</v>
      </c>
      <c r="F39" s="51" t="s">
        <v>71</v>
      </c>
      <c r="G39" s="52" t="s">
        <v>59</v>
      </c>
      <c r="H39" s="52" t="s">
        <v>72</v>
      </c>
      <c r="I39" s="52" t="s">
        <v>13</v>
      </c>
      <c r="J39" s="53">
        <v>56</v>
      </c>
      <c r="K39" s="52">
        <f t="shared" si="0"/>
        <v>56</v>
      </c>
      <c r="L39" s="52">
        <v>320</v>
      </c>
      <c r="M39" s="56">
        <f t="shared" si="1"/>
        <v>17920</v>
      </c>
    </row>
    <row r="40" s="1" customFormat="1" ht="13" spans="1:13">
      <c r="A40" s="51">
        <v>6</v>
      </c>
      <c r="B40" s="53">
        <v>25</v>
      </c>
      <c r="C40" s="51" t="s">
        <v>119</v>
      </c>
      <c r="D40" s="52" t="s">
        <v>120</v>
      </c>
      <c r="E40" s="51">
        <v>2012060001</v>
      </c>
      <c r="F40" s="51" t="s">
        <v>75</v>
      </c>
      <c r="G40" s="52" t="s">
        <v>59</v>
      </c>
      <c r="H40" s="52" t="s">
        <v>76</v>
      </c>
      <c r="I40" s="52" t="s">
        <v>13</v>
      </c>
      <c r="J40" s="53">
        <v>25</v>
      </c>
      <c r="K40" s="52">
        <f t="shared" si="0"/>
        <v>25</v>
      </c>
      <c r="L40" s="52">
        <v>70</v>
      </c>
      <c r="M40" s="56">
        <f t="shared" si="1"/>
        <v>1750</v>
      </c>
    </row>
    <row r="41" s="1" customFormat="1" ht="13" spans="1:13">
      <c r="A41" s="51">
        <v>6</v>
      </c>
      <c r="B41" s="53">
        <v>25</v>
      </c>
      <c r="C41" s="51" t="s">
        <v>101</v>
      </c>
      <c r="D41" s="52" t="s">
        <v>102</v>
      </c>
      <c r="E41" s="51">
        <v>2012060001</v>
      </c>
      <c r="F41" s="51" t="s">
        <v>79</v>
      </c>
      <c r="G41" s="52" t="s">
        <v>59</v>
      </c>
      <c r="H41" s="52" t="s">
        <v>80</v>
      </c>
      <c r="I41" s="52" t="s">
        <v>13</v>
      </c>
      <c r="J41" s="53">
        <v>45</v>
      </c>
      <c r="K41" s="52">
        <f t="shared" si="0"/>
        <v>45</v>
      </c>
      <c r="L41" s="52">
        <v>185</v>
      </c>
      <c r="M41" s="56">
        <f t="shared" si="1"/>
        <v>8325</v>
      </c>
    </row>
    <row r="42" s="1" customFormat="1" ht="13" spans="1:13">
      <c r="A42" s="51">
        <v>6</v>
      </c>
      <c r="B42" s="53">
        <v>25</v>
      </c>
      <c r="C42" s="51" t="s">
        <v>109</v>
      </c>
      <c r="D42" s="52" t="s">
        <v>110</v>
      </c>
      <c r="E42" s="51">
        <v>2012060001</v>
      </c>
      <c r="F42" s="51" t="s">
        <v>83</v>
      </c>
      <c r="G42" s="52" t="s">
        <v>59</v>
      </c>
      <c r="H42" s="52" t="s">
        <v>84</v>
      </c>
      <c r="I42" s="52" t="s">
        <v>13</v>
      </c>
      <c r="J42" s="53">
        <v>65</v>
      </c>
      <c r="K42" s="52">
        <f t="shared" si="0"/>
        <v>65</v>
      </c>
      <c r="L42" s="52">
        <v>412.5</v>
      </c>
      <c r="M42" s="56">
        <f t="shared" si="1"/>
        <v>26812.5</v>
      </c>
    </row>
    <row r="43" s="1" customFormat="1" ht="13" spans="1:13">
      <c r="A43" s="51">
        <v>6</v>
      </c>
      <c r="B43" s="53">
        <v>25</v>
      </c>
      <c r="C43" s="51" t="s">
        <v>111</v>
      </c>
      <c r="D43" s="52" t="s">
        <v>112</v>
      </c>
      <c r="E43" s="51">
        <v>2012060001</v>
      </c>
      <c r="F43" s="51" t="s">
        <v>10</v>
      </c>
      <c r="G43" s="52" t="s">
        <v>11</v>
      </c>
      <c r="H43" s="52" t="s">
        <v>103</v>
      </c>
      <c r="I43" s="52" t="s">
        <v>13</v>
      </c>
      <c r="J43" s="53">
        <v>78</v>
      </c>
      <c r="K43" s="52">
        <f t="shared" si="0"/>
        <v>78</v>
      </c>
      <c r="L43" s="52">
        <v>0.25</v>
      </c>
      <c r="M43" s="56">
        <f t="shared" si="1"/>
        <v>19.5</v>
      </c>
    </row>
    <row r="44" s="1" customFormat="1" ht="13" spans="1:13">
      <c r="A44" s="51">
        <v>6</v>
      </c>
      <c r="B44" s="53">
        <v>26</v>
      </c>
      <c r="C44" s="51" t="s">
        <v>113</v>
      </c>
      <c r="D44" s="52" t="s">
        <v>114</v>
      </c>
      <c r="E44" s="51">
        <v>2012060001</v>
      </c>
      <c r="F44" s="51" t="s">
        <v>15</v>
      </c>
      <c r="G44" s="52" t="s">
        <v>11</v>
      </c>
      <c r="H44" s="52" t="s">
        <v>104</v>
      </c>
      <c r="I44" s="52" t="s">
        <v>13</v>
      </c>
      <c r="J44" s="53">
        <v>52</v>
      </c>
      <c r="K44" s="52">
        <f t="shared" si="0"/>
        <v>52</v>
      </c>
      <c r="L44" s="52">
        <v>0.33</v>
      </c>
      <c r="M44" s="56">
        <f t="shared" si="1"/>
        <v>17.16</v>
      </c>
    </row>
    <row r="45" s="1" customFormat="1" ht="13" spans="1:13">
      <c r="A45" s="51">
        <v>6</v>
      </c>
      <c r="B45" s="53">
        <v>28</v>
      </c>
      <c r="C45" s="51" t="s">
        <v>115</v>
      </c>
      <c r="D45" s="52" t="s">
        <v>116</v>
      </c>
      <c r="E45" s="51">
        <v>2012060001</v>
      </c>
      <c r="F45" s="51" t="s">
        <v>19</v>
      </c>
      <c r="G45" s="52" t="s">
        <v>11</v>
      </c>
      <c r="H45" s="52" t="s">
        <v>105</v>
      </c>
      <c r="I45" s="52" t="s">
        <v>13</v>
      </c>
      <c r="J45" s="53">
        <v>52</v>
      </c>
      <c r="K45" s="52">
        <f t="shared" si="0"/>
        <v>52</v>
      </c>
      <c r="L45" s="52">
        <v>0.58</v>
      </c>
      <c r="M45" s="56">
        <f t="shared" si="1"/>
        <v>30.16</v>
      </c>
    </row>
    <row r="46" s="1" customFormat="1" ht="13" spans="1:13">
      <c r="A46" s="51">
        <v>6</v>
      </c>
      <c r="B46" s="53">
        <v>28</v>
      </c>
      <c r="C46" s="51" t="s">
        <v>117</v>
      </c>
      <c r="D46" s="52" t="s">
        <v>118</v>
      </c>
      <c r="E46" s="51">
        <v>2012060001</v>
      </c>
      <c r="F46" s="51" t="s">
        <v>23</v>
      </c>
      <c r="G46" s="52" t="s">
        <v>11</v>
      </c>
      <c r="H46" s="52" t="s">
        <v>106</v>
      </c>
      <c r="I46" s="52" t="s">
        <v>13</v>
      </c>
      <c r="J46" s="53">
        <v>10</v>
      </c>
      <c r="K46" s="52">
        <f t="shared" si="0"/>
        <v>10</v>
      </c>
      <c r="L46" s="52">
        <v>0.89</v>
      </c>
      <c r="M46" s="56">
        <f t="shared" si="1"/>
        <v>8.9</v>
      </c>
    </row>
    <row r="47" s="1" customFormat="1" ht="13" spans="1:13">
      <c r="A47" s="51">
        <v>6</v>
      </c>
      <c r="B47" s="53">
        <v>28</v>
      </c>
      <c r="C47" s="51" t="s">
        <v>119</v>
      </c>
      <c r="D47" s="52" t="s">
        <v>120</v>
      </c>
      <c r="E47" s="51">
        <v>2012060001</v>
      </c>
      <c r="F47" s="51" t="s">
        <v>10</v>
      </c>
      <c r="G47" s="52" t="s">
        <v>11</v>
      </c>
      <c r="H47" s="52" t="s">
        <v>103</v>
      </c>
      <c r="I47" s="52" t="s">
        <v>13</v>
      </c>
      <c r="J47" s="53">
        <v>55</v>
      </c>
      <c r="K47" s="52">
        <f t="shared" si="0"/>
        <v>55</v>
      </c>
      <c r="L47" s="52">
        <v>0.25</v>
      </c>
      <c r="M47" s="56">
        <f t="shared" si="1"/>
        <v>13.75</v>
      </c>
    </row>
    <row r="48" s="1" customFormat="1" ht="13" spans="1:13">
      <c r="A48" s="51">
        <v>6</v>
      </c>
      <c r="B48" s="53">
        <v>28</v>
      </c>
      <c r="C48" s="51" t="s">
        <v>111</v>
      </c>
      <c r="D48" s="52" t="s">
        <v>112</v>
      </c>
      <c r="E48" s="51">
        <v>2012060001</v>
      </c>
      <c r="F48" s="51" t="s">
        <v>15</v>
      </c>
      <c r="G48" s="52" t="s">
        <v>11</v>
      </c>
      <c r="H48" s="52" t="s">
        <v>104</v>
      </c>
      <c r="I48" s="52" t="s">
        <v>13</v>
      </c>
      <c r="J48" s="53">
        <v>12</v>
      </c>
      <c r="K48" s="52">
        <f t="shared" si="0"/>
        <v>12</v>
      </c>
      <c r="L48" s="52">
        <v>0.33</v>
      </c>
      <c r="M48" s="56">
        <f t="shared" si="1"/>
        <v>3.96</v>
      </c>
    </row>
    <row r="49" s="1" customFormat="1" ht="13" spans="1:13">
      <c r="A49" s="51">
        <v>6</v>
      </c>
      <c r="B49" s="53">
        <v>28</v>
      </c>
      <c r="C49" s="51" t="s">
        <v>113</v>
      </c>
      <c r="D49" s="52" t="s">
        <v>114</v>
      </c>
      <c r="E49" s="51">
        <v>2012060001</v>
      </c>
      <c r="F49" s="51" t="s">
        <v>19</v>
      </c>
      <c r="G49" s="52" t="s">
        <v>11</v>
      </c>
      <c r="H49" s="52" t="s">
        <v>105</v>
      </c>
      <c r="I49" s="52" t="s">
        <v>13</v>
      </c>
      <c r="J49" s="53">
        <v>10</v>
      </c>
      <c r="K49" s="52">
        <f t="shared" si="0"/>
        <v>10</v>
      </c>
      <c r="L49" s="52">
        <v>0.58</v>
      </c>
      <c r="M49" s="56">
        <f t="shared" si="1"/>
        <v>5.8</v>
      </c>
    </row>
    <row r="50" spans="4:4">
      <c r="D50" s="54" t="str">
        <f>IF(C50="","",VLOOKUP(C50,[1]部门!A:B,2,FALSE))</f>
        <v/>
      </c>
    </row>
  </sheetData>
  <mergeCells count="1">
    <mergeCell ref="A1:M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zoomScale="90" zoomScaleNormal="90" workbookViewId="0">
      <selection activeCell="U20" sqref="U20"/>
    </sheetView>
  </sheetViews>
  <sheetFormatPr defaultColWidth="9" defaultRowHeight="14"/>
  <cols>
    <col min="1" max="2" width="5.75454545454545" customWidth="1"/>
    <col min="3" max="3" width="8.37272727272727" customWidth="1"/>
    <col min="4" max="4" width="11.1272727272727" customWidth="1"/>
    <col min="5" max="5" width="5.25454545454545" customWidth="1"/>
    <col min="6" max="6" width="8.75454545454545" customWidth="1"/>
    <col min="7" max="7" width="9.25454545454545" customWidth="1"/>
    <col min="8" max="8" width="9.12727272727273" customWidth="1"/>
    <col min="9" max="9" width="7.87272727272727" customWidth="1"/>
    <col min="10" max="10" width="8.12727272727273" customWidth="1"/>
    <col min="15" max="15" width="9.12727272727273" customWidth="1"/>
    <col min="16" max="16" width="9.37272727272727" customWidth="1"/>
    <col min="17" max="17" width="10.2545454545455" customWidth="1"/>
    <col min="18" max="18" width="3.62727272727273" customWidth="1"/>
  </cols>
  <sheetData>
    <row r="1" ht="50.25" customHeight="1" spans="2:18">
      <c r="B1" s="3" t="s">
        <v>121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15.75" customHeight="1" spans="1:18">
      <c r="A2" s="4"/>
      <c r="B2" s="5" t="s">
        <v>122</v>
      </c>
      <c r="C2" s="5"/>
      <c r="D2" s="5"/>
      <c r="E2" s="5" t="s">
        <v>123</v>
      </c>
      <c r="F2" s="5"/>
      <c r="G2" s="5"/>
      <c r="H2" s="5"/>
      <c r="I2" s="5"/>
      <c r="J2" s="5"/>
      <c r="K2" s="5"/>
      <c r="L2" s="5" t="s">
        <v>124</v>
      </c>
      <c r="M2" s="5"/>
      <c r="N2" s="5"/>
      <c r="O2" s="26"/>
      <c r="P2" s="26"/>
      <c r="Q2" s="26"/>
      <c r="R2" s="26"/>
    </row>
    <row r="3" s="1" customFormat="1" ht="14.75" spans="2:18">
      <c r="B3" s="5" t="s">
        <v>125</v>
      </c>
      <c r="C3" s="5"/>
      <c r="D3" s="5"/>
      <c r="E3" s="5" t="s">
        <v>126</v>
      </c>
      <c r="F3" s="5"/>
      <c r="G3" s="5"/>
      <c r="H3" s="5"/>
      <c r="I3" s="5"/>
      <c r="J3" s="5"/>
      <c r="K3" s="5"/>
      <c r="L3" s="5" t="s">
        <v>6</v>
      </c>
      <c r="M3" s="5"/>
      <c r="N3" s="5"/>
      <c r="O3" s="5" t="s">
        <v>127</v>
      </c>
      <c r="P3" s="27"/>
      <c r="Q3" s="27"/>
      <c r="R3" s="39"/>
    </row>
    <row r="4" ht="17.5" spans="2:18">
      <c r="B4" s="6" t="s">
        <v>128</v>
      </c>
      <c r="C4" s="7"/>
      <c r="D4" s="7"/>
      <c r="E4" s="7"/>
      <c r="F4" s="8">
        <f>SUBTOTAL(9,H7:H25)</f>
        <v>156737.35</v>
      </c>
      <c r="G4" s="9"/>
      <c r="H4" s="10"/>
      <c r="I4" s="8">
        <f t="shared" ref="I4" si="0">SUBTOTAL(9,K7:K25)</f>
        <v>6389778.62</v>
      </c>
      <c r="J4" s="9"/>
      <c r="K4" s="10"/>
      <c r="L4" s="8">
        <f t="shared" ref="L4" si="1">SUBTOTAL(9,N7:N25)</f>
        <v>189242.78</v>
      </c>
      <c r="M4" s="9"/>
      <c r="N4" s="10"/>
      <c r="O4" s="8">
        <f t="shared" ref="O4" si="2">SUBTOTAL(9,Q7:Q25)</f>
        <v>6357273.19</v>
      </c>
      <c r="P4" s="9"/>
      <c r="Q4" s="10"/>
      <c r="R4" s="40" t="s">
        <v>129</v>
      </c>
    </row>
    <row r="5" ht="15" spans="2:18">
      <c r="B5" s="11" t="s">
        <v>130</v>
      </c>
      <c r="C5" s="12" t="s">
        <v>130</v>
      </c>
      <c r="D5" s="12" t="s">
        <v>131</v>
      </c>
      <c r="E5" s="13" t="s">
        <v>132</v>
      </c>
      <c r="F5" s="14" t="s">
        <v>133</v>
      </c>
      <c r="G5" s="15"/>
      <c r="H5" s="15"/>
      <c r="I5" s="12" t="s">
        <v>134</v>
      </c>
      <c r="J5" s="28"/>
      <c r="K5" s="28"/>
      <c r="L5" s="29" t="s">
        <v>135</v>
      </c>
      <c r="M5" s="30"/>
      <c r="N5" s="30"/>
      <c r="O5" s="12" t="s">
        <v>136</v>
      </c>
      <c r="P5" s="28"/>
      <c r="Q5" s="28"/>
      <c r="R5" s="41"/>
    </row>
    <row r="6" ht="14.75" spans="2:18">
      <c r="B6" s="16" t="s">
        <v>137</v>
      </c>
      <c r="C6" s="12" t="s">
        <v>91</v>
      </c>
      <c r="D6" s="12" t="s">
        <v>138</v>
      </c>
      <c r="E6" s="12" t="s">
        <v>139</v>
      </c>
      <c r="F6" s="14" t="s">
        <v>7</v>
      </c>
      <c r="G6" s="14" t="s">
        <v>140</v>
      </c>
      <c r="H6" s="14" t="s">
        <v>93</v>
      </c>
      <c r="I6" s="12" t="s">
        <v>7</v>
      </c>
      <c r="J6" s="12" t="s">
        <v>140</v>
      </c>
      <c r="K6" s="12" t="s">
        <v>93</v>
      </c>
      <c r="L6" s="29" t="s">
        <v>7</v>
      </c>
      <c r="M6" s="29" t="s">
        <v>140</v>
      </c>
      <c r="N6" s="29" t="s">
        <v>93</v>
      </c>
      <c r="O6" s="12" t="s">
        <v>7</v>
      </c>
      <c r="P6" s="12" t="s">
        <v>140</v>
      </c>
      <c r="Q6" s="12" t="s">
        <v>93</v>
      </c>
      <c r="R6" s="42"/>
    </row>
    <row r="7" s="2" customFormat="1" ht="13" spans="2:18">
      <c r="B7" s="17" t="s">
        <v>10</v>
      </c>
      <c r="C7" s="18" t="str">
        <f>VLOOKUP($B7,[2]上月余额!$A:$F,2,FALSE)</f>
        <v>电阻</v>
      </c>
      <c r="D7" s="18" t="str">
        <f>VLOOKUP($B7,[2]上月余额!$A:$F,3,FALSE)</f>
        <v>25Ω</v>
      </c>
      <c r="E7" s="18" t="str">
        <f>VLOOKUP($B7,[2]上月余额!$A:$F,4,FALSE)</f>
        <v>支</v>
      </c>
      <c r="F7" s="19">
        <v>0.25</v>
      </c>
      <c r="G7" s="19">
        <v>500</v>
      </c>
      <c r="H7" s="19">
        <v>125</v>
      </c>
      <c r="I7" s="18">
        <f>基础数据表!G3</f>
        <v>0.25</v>
      </c>
      <c r="J7" s="18">
        <f>IF($B7="","",SUMIF(材料入库明细表!$G$4:$G$83,$B7,材料入库明细表!$K$4:$K$83))</f>
        <v>2200</v>
      </c>
      <c r="K7" s="18">
        <f>I7*J7</f>
        <v>550</v>
      </c>
      <c r="L7" s="31">
        <f>基础数据表!G3</f>
        <v>0.25</v>
      </c>
      <c r="M7" s="32">
        <f>IF($B7="","",SUMIF(本月领取情况记录表!$F$5:$F$49,$B7,本月领取情况记录表!$K$5:$K$49))</f>
        <v>2333</v>
      </c>
      <c r="N7" s="32">
        <f>L7*M7</f>
        <v>583.25</v>
      </c>
      <c r="O7" s="18">
        <f>基础数据表!G3</f>
        <v>0.25</v>
      </c>
      <c r="P7" s="33">
        <f>IF(B7="","",G7+J7-M7)</f>
        <v>367</v>
      </c>
      <c r="Q7" s="34">
        <f>O7*P7</f>
        <v>91.75</v>
      </c>
      <c r="R7" s="43">
        <f>COUNTIF($B$7:$B$25,B7)</f>
        <v>1</v>
      </c>
    </row>
    <row r="8" s="2" customFormat="1" ht="13" spans="2:18">
      <c r="B8" s="20" t="s">
        <v>15</v>
      </c>
      <c r="C8" s="18" t="str">
        <f>VLOOKUP(B8,[2]上月余额!A:F,2,FALSE)</f>
        <v>电阻</v>
      </c>
      <c r="D8" s="18" t="str">
        <f>VLOOKUP($B8,[2]上月余额!$A:$F,3,FALSE)</f>
        <v>32Ω</v>
      </c>
      <c r="E8" s="18" t="str">
        <f>VLOOKUP($B8,[2]上月余额!$A:$F,4,FALSE)</f>
        <v>支</v>
      </c>
      <c r="F8" s="19">
        <v>0.33</v>
      </c>
      <c r="G8" s="19">
        <v>10000</v>
      </c>
      <c r="H8" s="19">
        <v>3300</v>
      </c>
      <c r="I8" s="18">
        <f>基础数据表!G4</f>
        <v>0.33</v>
      </c>
      <c r="J8" s="18">
        <f>IF($B8="","",SUMIF(材料入库明细表!$G$4:$G$83,$B8,材料入库明细表!$K$4:$K$83))</f>
        <v>950</v>
      </c>
      <c r="K8" s="18">
        <f t="shared" ref="K8:K25" si="3">I8*J8</f>
        <v>313.5</v>
      </c>
      <c r="L8" s="31">
        <f>基础数据表!G4</f>
        <v>0.33</v>
      </c>
      <c r="M8" s="32">
        <f>IF($B8="","",SUMIF(本月领取情况记录表!$F$5:$F$49,$B8,本月领取情况记录表!$K$5:$K$49))</f>
        <v>7864</v>
      </c>
      <c r="N8" s="32">
        <f t="shared" ref="N8:N19" si="4">L8*M8</f>
        <v>2595.12</v>
      </c>
      <c r="O8" s="18">
        <f>基础数据表!G4</f>
        <v>0.33</v>
      </c>
      <c r="P8" s="33">
        <f t="shared" ref="P8:P25" si="5">IF(B8="","",G8+J8-M8)</f>
        <v>3086</v>
      </c>
      <c r="Q8" s="34">
        <f t="shared" ref="Q8:Q17" si="6">O8*P8</f>
        <v>1018.38</v>
      </c>
      <c r="R8" s="43">
        <f t="shared" ref="R8:R16" si="7">COUNTIF($B$7:$B$25,B8)</f>
        <v>1</v>
      </c>
    </row>
    <row r="9" s="2" customFormat="1" ht="13" spans="2:18">
      <c r="B9" s="20" t="s">
        <v>19</v>
      </c>
      <c r="C9" s="18" t="str">
        <f>VLOOKUP(B9,[2]上月余额!A:F,2,FALSE)</f>
        <v>电阻</v>
      </c>
      <c r="D9" s="18" t="str">
        <f>VLOOKUP($B9,[2]上月余额!$A:$F,3,FALSE)</f>
        <v>100Ω</v>
      </c>
      <c r="E9" s="18" t="str">
        <f>VLOOKUP($B9,[2]上月余额!$A:$F,4,FALSE)</f>
        <v>支</v>
      </c>
      <c r="F9" s="19">
        <v>0.58</v>
      </c>
      <c r="G9" s="19">
        <v>820</v>
      </c>
      <c r="H9" s="19">
        <v>475.6</v>
      </c>
      <c r="I9" s="18">
        <f>基础数据表!G5</f>
        <v>0.58</v>
      </c>
      <c r="J9" s="18">
        <f>IF($B9="","",SUMIF(材料入库明细表!$G$4:$G$83,$B9,材料入库明细表!$K$4:$K$83))</f>
        <v>11340</v>
      </c>
      <c r="K9" s="18">
        <f t="shared" si="3"/>
        <v>6577.2</v>
      </c>
      <c r="L9" s="31">
        <f>基础数据表!G5</f>
        <v>0.58</v>
      </c>
      <c r="M9" s="32">
        <f>IF($B9="","",SUMIF(本月领取情况记录表!$F$5:$F$49,$B9,本月领取情况记录表!$K$5:$K$49))</f>
        <v>902</v>
      </c>
      <c r="N9" s="32">
        <f t="shared" si="4"/>
        <v>523.16</v>
      </c>
      <c r="O9" s="18">
        <f>基础数据表!G5</f>
        <v>0.58</v>
      </c>
      <c r="P9" s="33">
        <f t="shared" si="5"/>
        <v>11258</v>
      </c>
      <c r="Q9" s="34">
        <f t="shared" si="6"/>
        <v>6529.64</v>
      </c>
      <c r="R9" s="43">
        <f t="shared" si="7"/>
        <v>1</v>
      </c>
    </row>
    <row r="10" s="2" customFormat="1" ht="13" spans="2:18">
      <c r="B10" s="20" t="s">
        <v>23</v>
      </c>
      <c r="C10" s="18" t="str">
        <f>VLOOKUP(B10,[2]上月余额!A:F,2,FALSE)</f>
        <v>电阻</v>
      </c>
      <c r="D10" s="18" t="str">
        <f>VLOOKUP($B10,[2]上月余额!$A:$F,3,FALSE)</f>
        <v>320Ω</v>
      </c>
      <c r="E10" s="18" t="str">
        <f>VLOOKUP($B10,[2]上月余额!$A:$F,4,FALSE)</f>
        <v>支</v>
      </c>
      <c r="F10" s="19">
        <v>0.89</v>
      </c>
      <c r="G10" s="19">
        <v>1580</v>
      </c>
      <c r="H10" s="19">
        <v>1406.2</v>
      </c>
      <c r="I10" s="18">
        <f>基础数据表!G6</f>
        <v>0.89</v>
      </c>
      <c r="J10" s="18">
        <f>IF($B10="","",SUMIF(材料入库明细表!$G$4:$G$83,$B10,材料入库明细表!$K$4:$K$83))</f>
        <v>9080</v>
      </c>
      <c r="K10" s="18">
        <f t="shared" si="3"/>
        <v>8081.2</v>
      </c>
      <c r="L10" s="31">
        <f>基础数据表!G6</f>
        <v>0.89</v>
      </c>
      <c r="M10" s="32">
        <f>IF($B10="","",SUMIF(本月领取情况记录表!$F$5:$F$49,$B10,本月领取情况记录表!$K$5:$K$49))</f>
        <v>1290</v>
      </c>
      <c r="N10" s="32">
        <f t="shared" si="4"/>
        <v>1148.1</v>
      </c>
      <c r="O10" s="18">
        <f>基础数据表!G6</f>
        <v>0.89</v>
      </c>
      <c r="P10" s="33">
        <f t="shared" si="5"/>
        <v>9370</v>
      </c>
      <c r="Q10" s="34">
        <f t="shared" si="6"/>
        <v>8339.3</v>
      </c>
      <c r="R10" s="43">
        <f t="shared" si="7"/>
        <v>1</v>
      </c>
    </row>
    <row r="11" s="2" customFormat="1" ht="13" spans="2:18">
      <c r="B11" s="20" t="s">
        <v>27</v>
      </c>
      <c r="C11" s="18" t="str">
        <f>VLOOKUP(B11,[2]上月余额!A:F,2,FALSE)</f>
        <v>电阻</v>
      </c>
      <c r="D11" s="18" t="str">
        <f>VLOOKUP($B11,[2]上月余额!$A:$F,3,FALSE)</f>
        <v>29Ω</v>
      </c>
      <c r="E11" s="18" t="str">
        <f>VLOOKUP($B11,[2]上月余额!$A:$F,4,FALSE)</f>
        <v>支</v>
      </c>
      <c r="F11" s="19">
        <v>0.21</v>
      </c>
      <c r="G11" s="19">
        <v>700</v>
      </c>
      <c r="H11" s="19">
        <v>147</v>
      </c>
      <c r="I11" s="18">
        <f>基础数据表!G7</f>
        <v>0.21</v>
      </c>
      <c r="J11" s="18">
        <f>IF($B11="","",SUMIF(材料入库明细表!$G$4:$G$83,$B11,材料入库明细表!$K$4:$K$83))</f>
        <v>5510</v>
      </c>
      <c r="K11" s="18">
        <f t="shared" si="3"/>
        <v>1157.1</v>
      </c>
      <c r="L11" s="31">
        <f>基础数据表!G7</f>
        <v>0.21</v>
      </c>
      <c r="M11" s="32">
        <f>IF($B11="","",SUMIF(本月领取情况记录表!$F$5:$F$49,$B11,本月领取情况记录表!$K$5:$K$49))</f>
        <v>595</v>
      </c>
      <c r="N11" s="32">
        <f t="shared" si="4"/>
        <v>124.95</v>
      </c>
      <c r="O11" s="18">
        <f>基础数据表!G7</f>
        <v>0.21</v>
      </c>
      <c r="P11" s="33">
        <f t="shared" si="5"/>
        <v>5615</v>
      </c>
      <c r="Q11" s="34">
        <f t="shared" si="6"/>
        <v>1179.15</v>
      </c>
      <c r="R11" s="43">
        <f t="shared" si="7"/>
        <v>1</v>
      </c>
    </row>
    <row r="12" s="2" customFormat="1" ht="13" spans="2:18">
      <c r="B12" s="20" t="s">
        <v>30</v>
      </c>
      <c r="C12" s="18" t="str">
        <f>VLOOKUP(B12,[2]上月余额!A:F,2,FALSE)</f>
        <v>电阻</v>
      </c>
      <c r="D12" s="18" t="str">
        <f>VLOOKUP($B12,[2]上月余额!$A:$F,3,FALSE)</f>
        <v>30Ω</v>
      </c>
      <c r="E12" s="18" t="str">
        <f>VLOOKUP($B12,[2]上月余额!$A:$F,4,FALSE)</f>
        <v>支</v>
      </c>
      <c r="F12" s="19">
        <v>0.36</v>
      </c>
      <c r="G12" s="19">
        <v>980</v>
      </c>
      <c r="H12" s="19">
        <v>352.8</v>
      </c>
      <c r="I12" s="18">
        <f>基础数据表!G8</f>
        <v>0.36</v>
      </c>
      <c r="J12" s="18">
        <f>IF($B12="","",SUMIF(材料入库明细表!$G$4:$G$83,$B12,材料入库明细表!$K$4:$K$83))</f>
        <v>4427</v>
      </c>
      <c r="K12" s="18">
        <f t="shared" si="3"/>
        <v>1593.72</v>
      </c>
      <c r="L12" s="31">
        <f>基础数据表!G8</f>
        <v>0.36</v>
      </c>
      <c r="M12" s="32">
        <f>IF($B12="","",SUMIF(本月领取情况记录表!$F$5:$F$49,$B12,本月领取情况记录表!$K$5:$K$49))</f>
        <v>320</v>
      </c>
      <c r="N12" s="32">
        <f t="shared" si="4"/>
        <v>115.2</v>
      </c>
      <c r="O12" s="18">
        <f>基础数据表!G8</f>
        <v>0.36</v>
      </c>
      <c r="P12" s="33">
        <f t="shared" si="5"/>
        <v>5087</v>
      </c>
      <c r="Q12" s="34">
        <f t="shared" si="6"/>
        <v>1831.32</v>
      </c>
      <c r="R12" s="43">
        <f t="shared" si="7"/>
        <v>1</v>
      </c>
    </row>
    <row r="13" s="2" customFormat="1" ht="13" spans="2:18">
      <c r="B13" s="20" t="s">
        <v>34</v>
      </c>
      <c r="C13" s="18" t="str">
        <f>VLOOKUP(B13,[2]上月余额!A:F,2,FALSE)</f>
        <v>电容</v>
      </c>
      <c r="D13" s="18" t="str">
        <f>VLOOKUP($B13,[2]上月余额!$A:$F,3,FALSE)</f>
        <v>10F</v>
      </c>
      <c r="E13" s="18" t="str">
        <f>VLOOKUP($B13,[2]上月余额!$A:$F,4,FALSE)</f>
        <v>支</v>
      </c>
      <c r="F13" s="19">
        <v>0.78</v>
      </c>
      <c r="G13" s="19">
        <v>700</v>
      </c>
      <c r="H13" s="19">
        <v>546</v>
      </c>
      <c r="I13" s="18">
        <f>基础数据表!G9</f>
        <v>0.78</v>
      </c>
      <c r="J13" s="18">
        <f>IF($B13="","",SUMIF(材料入库明细表!$G$4:$G$83,$B13,材料入库明细表!$K$4:$K$83))</f>
        <v>16120</v>
      </c>
      <c r="K13" s="18">
        <f t="shared" si="3"/>
        <v>12573.6</v>
      </c>
      <c r="L13" s="31">
        <f>基础数据表!G9</f>
        <v>0.78</v>
      </c>
      <c r="M13" s="32">
        <f>IF($B13="","",SUMIF(本月领取情况记录表!$F$5:$F$49,$B13,本月领取情况记录表!$K$5:$K$49))</f>
        <v>210</v>
      </c>
      <c r="N13" s="32">
        <f t="shared" si="4"/>
        <v>163.8</v>
      </c>
      <c r="O13" s="18">
        <f>基础数据表!G9</f>
        <v>0.78</v>
      </c>
      <c r="P13" s="33">
        <f t="shared" si="5"/>
        <v>16610</v>
      </c>
      <c r="Q13" s="34">
        <f t="shared" si="6"/>
        <v>12955.8</v>
      </c>
      <c r="R13" s="43">
        <f t="shared" si="7"/>
        <v>1</v>
      </c>
    </row>
    <row r="14" s="2" customFormat="1" ht="13" spans="2:18">
      <c r="B14" s="20" t="s">
        <v>39</v>
      </c>
      <c r="C14" s="18" t="str">
        <f>VLOOKUP(B14,[2]上月余额!A:F,2,FALSE)</f>
        <v>电容</v>
      </c>
      <c r="D14" s="18" t="str">
        <f>VLOOKUP($B14,[2]上月余额!$A:$F,3,FALSE)</f>
        <v>18F</v>
      </c>
      <c r="E14" s="18" t="str">
        <f>VLOOKUP($B14,[2]上月余额!$A:$F,4,FALSE)</f>
        <v>支</v>
      </c>
      <c r="F14" s="19">
        <v>0.65</v>
      </c>
      <c r="G14" s="19">
        <v>850</v>
      </c>
      <c r="H14" s="19">
        <v>552.5</v>
      </c>
      <c r="I14" s="18">
        <f>基础数据表!G10</f>
        <v>0.65</v>
      </c>
      <c r="J14" s="18">
        <f>IF($B14="","",SUMIF(材料入库明细表!$G$4:$G$83,$B14,材料入库明细表!$K$4:$K$83))</f>
        <v>1825</v>
      </c>
      <c r="K14" s="18">
        <f t="shared" si="3"/>
        <v>1186.25</v>
      </c>
      <c r="L14" s="31">
        <f>基础数据表!G10</f>
        <v>0.65</v>
      </c>
      <c r="M14" s="32">
        <f>IF($B14="","",SUMIF(本月领取情况记录表!$F$5:$F$49,$B14,本月领取情况记录表!$K$5:$K$49))</f>
        <v>120</v>
      </c>
      <c r="N14" s="32">
        <f t="shared" si="4"/>
        <v>78</v>
      </c>
      <c r="O14" s="18">
        <f>基础数据表!G10</f>
        <v>0.65</v>
      </c>
      <c r="P14" s="33">
        <f t="shared" si="5"/>
        <v>2555</v>
      </c>
      <c r="Q14" s="34">
        <f t="shared" si="6"/>
        <v>1660.75</v>
      </c>
      <c r="R14" s="43">
        <f t="shared" si="7"/>
        <v>1</v>
      </c>
    </row>
    <row r="15" s="2" customFormat="1" ht="13" spans="2:18">
      <c r="B15" s="20" t="s">
        <v>43</v>
      </c>
      <c r="C15" s="18" t="str">
        <f>VLOOKUP(B15,[2]上月余额!A:F,2,FALSE)</f>
        <v>电容</v>
      </c>
      <c r="D15" s="18" t="str">
        <f>VLOOKUP($B15,[2]上月余额!$A:$F,3,FALSE)</f>
        <v>50F</v>
      </c>
      <c r="E15" s="18" t="str">
        <f>VLOOKUP($B15,[2]上月余额!$A:$F,4,FALSE)</f>
        <v>支</v>
      </c>
      <c r="F15" s="19">
        <v>0.75</v>
      </c>
      <c r="G15" s="19">
        <v>456</v>
      </c>
      <c r="H15" s="19">
        <v>342</v>
      </c>
      <c r="I15" s="18">
        <f>基础数据表!G11</f>
        <v>0.75</v>
      </c>
      <c r="J15" s="18">
        <f>IF($B15="","",SUMIF(材料入库明细表!$G$4:$G$83,$B15,材料入库明细表!$K$4:$K$83))</f>
        <v>1533</v>
      </c>
      <c r="K15" s="18">
        <f t="shared" si="3"/>
        <v>1149.75</v>
      </c>
      <c r="L15" s="31">
        <f>基础数据表!G11</f>
        <v>0.75</v>
      </c>
      <c r="M15" s="32">
        <f>IF($B15="","",SUMIF(本月领取情况记录表!$F$5:$F$49,$B15,本月领取情况记录表!$K$5:$K$49))</f>
        <v>534</v>
      </c>
      <c r="N15" s="32">
        <f t="shared" si="4"/>
        <v>400.5</v>
      </c>
      <c r="O15" s="18">
        <f>基础数据表!G11</f>
        <v>0.75</v>
      </c>
      <c r="P15" s="33">
        <f t="shared" si="5"/>
        <v>1455</v>
      </c>
      <c r="Q15" s="34">
        <f t="shared" si="6"/>
        <v>1091.25</v>
      </c>
      <c r="R15" s="43">
        <f t="shared" si="7"/>
        <v>1</v>
      </c>
    </row>
    <row r="16" s="2" customFormat="1" ht="13" spans="2:18">
      <c r="B16" s="20" t="s">
        <v>47</v>
      </c>
      <c r="C16" s="18" t="str">
        <f>VLOOKUP(B16,[2]上月余额!A:F,2,FALSE)</f>
        <v>电容</v>
      </c>
      <c r="D16" s="18" t="str">
        <f>VLOOKUP($B16,[2]上月余额!$A:$F,3,FALSE)</f>
        <v>100F</v>
      </c>
      <c r="E16" s="18" t="str">
        <f>VLOOKUP($B16,[2]上月余额!$A:$F,4,FALSE)</f>
        <v>支</v>
      </c>
      <c r="F16" s="19">
        <v>0.85</v>
      </c>
      <c r="G16" s="19">
        <v>1470</v>
      </c>
      <c r="H16" s="19">
        <v>1249.5</v>
      </c>
      <c r="I16" s="18">
        <f>基础数据表!G12</f>
        <v>0.85</v>
      </c>
      <c r="J16" s="18">
        <f>IF($B16="","",SUMIF(材料入库明细表!$G$4:$G$83,$B16,材料入库明细表!$K$4:$K$83))</f>
        <v>1720</v>
      </c>
      <c r="K16" s="18">
        <f t="shared" si="3"/>
        <v>1462</v>
      </c>
      <c r="L16" s="31">
        <f>基础数据表!G12</f>
        <v>0.85</v>
      </c>
      <c r="M16" s="32">
        <f>IF($B16="","",SUMIF(本月领取情况记录表!$F$5:$F$49,$B16,本月领取情况记录表!$K$5:$K$49))</f>
        <v>873</v>
      </c>
      <c r="N16" s="32">
        <f t="shared" si="4"/>
        <v>742.05</v>
      </c>
      <c r="O16" s="18">
        <f>基础数据表!G12</f>
        <v>0.85</v>
      </c>
      <c r="P16" s="33">
        <f t="shared" si="5"/>
        <v>2317</v>
      </c>
      <c r="Q16" s="34">
        <f t="shared" si="6"/>
        <v>1969.45</v>
      </c>
      <c r="R16" s="43">
        <f t="shared" si="7"/>
        <v>1</v>
      </c>
    </row>
    <row r="17" s="2" customFormat="1" ht="13" spans="2:18">
      <c r="B17" s="20" t="s">
        <v>50</v>
      </c>
      <c r="C17" s="18" t="str">
        <f>VLOOKUP(B17,[2]上月余额!A:F,2,FALSE)</f>
        <v>电容</v>
      </c>
      <c r="D17" s="18" t="str">
        <f>VLOOKUP($B17,[2]上月余额!$A:$F,3,FALSE)</f>
        <v>25F</v>
      </c>
      <c r="E17" s="18" t="str">
        <f>VLOOKUP($B17,[2]上月余额!$A:$F,4,FALSE)</f>
        <v>支</v>
      </c>
      <c r="F17" s="19">
        <v>0.9</v>
      </c>
      <c r="G17" s="19">
        <v>840</v>
      </c>
      <c r="H17" s="19">
        <v>756</v>
      </c>
      <c r="I17" s="18">
        <f>基础数据表!G13</f>
        <v>0.9</v>
      </c>
      <c r="J17" s="18">
        <f>IF($B17="","",SUMIF(材料入库明细表!$G$4:$G$83,$B17,材料入库明细表!$K$4:$K$83))</f>
        <v>13562</v>
      </c>
      <c r="K17" s="18">
        <f t="shared" si="3"/>
        <v>12205.8</v>
      </c>
      <c r="L17" s="31">
        <f>基础数据表!G13</f>
        <v>0.9</v>
      </c>
      <c r="M17" s="32">
        <f>IF($B17="","",SUMIF(本月领取情况记录表!$F$5:$F$49,$B17,本月领取情况记录表!$K$5:$K$49))</f>
        <v>641</v>
      </c>
      <c r="N17" s="32">
        <f t="shared" si="4"/>
        <v>576.9</v>
      </c>
      <c r="O17" s="18">
        <f>基础数据表!G13</f>
        <v>0.9</v>
      </c>
      <c r="P17" s="33">
        <f t="shared" si="5"/>
        <v>13761</v>
      </c>
      <c r="Q17" s="34">
        <f t="shared" si="6"/>
        <v>12384.9</v>
      </c>
      <c r="R17" s="43">
        <f t="shared" ref="R17:R25" si="8">COUNTIF($B$7:$B$25,B17)</f>
        <v>1</v>
      </c>
    </row>
    <row r="18" s="2" customFormat="1" ht="13" spans="2:18">
      <c r="B18" s="20" t="s">
        <v>54</v>
      </c>
      <c r="C18" s="18" t="str">
        <f>VLOOKUP(B18,[2]上月余额!A:F,2,FALSE)</f>
        <v>电容</v>
      </c>
      <c r="D18" s="18" t="str">
        <f>VLOOKUP($B18,[2]上月余额!$A:$F,3,FALSE)</f>
        <v>0.5F</v>
      </c>
      <c r="E18" s="18" t="str">
        <f>VLOOKUP($B18,[2]上月余额!$A:$F,4,FALSE)</f>
        <v>支</v>
      </c>
      <c r="F18" s="19">
        <v>0.55</v>
      </c>
      <c r="G18" s="19">
        <v>521</v>
      </c>
      <c r="H18" s="19">
        <v>286.55</v>
      </c>
      <c r="I18" s="18">
        <f>基础数据表!G14</f>
        <v>0.55</v>
      </c>
      <c r="J18" s="18">
        <f>IF($B18="","",SUMIF(材料入库明细表!$G$4:$G$83,$B18,材料入库明细表!$K$4:$K$83))</f>
        <v>6150</v>
      </c>
      <c r="K18" s="18">
        <f t="shared" si="3"/>
        <v>3382.5</v>
      </c>
      <c r="L18" s="31">
        <f>基础数据表!G14</f>
        <v>0.55</v>
      </c>
      <c r="M18" s="32">
        <f>IF($B18="","",SUMIF(本月领取情况记录表!$F$5:$F$49,$B18,本月领取情况记录表!$K$5:$K$49))</f>
        <v>763</v>
      </c>
      <c r="N18" s="32">
        <f t="shared" si="4"/>
        <v>419.65</v>
      </c>
      <c r="O18" s="18">
        <f>基础数据表!G14</f>
        <v>0.55</v>
      </c>
      <c r="P18" s="33">
        <f t="shared" si="5"/>
        <v>5908</v>
      </c>
      <c r="Q18" s="34">
        <f t="shared" ref="Q18" si="9">O18*P18</f>
        <v>3249.4</v>
      </c>
      <c r="R18" s="43">
        <f t="shared" si="8"/>
        <v>1</v>
      </c>
    </row>
    <row r="19" s="2" customFormat="1" ht="13" spans="2:18">
      <c r="B19" s="20" t="s">
        <v>58</v>
      </c>
      <c r="C19" s="18" t="str">
        <f>VLOOKUP(B19,[2]上月余额!A:F,2,FALSE)</f>
        <v>集成块</v>
      </c>
      <c r="D19" s="18" t="str">
        <f>VLOOKUP($B19,[2]上月余额!$A:$F,3,FALSE)</f>
        <v>AEu8139</v>
      </c>
      <c r="E19" s="18" t="str">
        <f>VLOOKUP($B19,[2]上月余额!$A:$F,4,FALSE)</f>
        <v>支</v>
      </c>
      <c r="F19" s="19">
        <v>58.5</v>
      </c>
      <c r="G19" s="19">
        <v>146</v>
      </c>
      <c r="H19" s="19">
        <v>8541</v>
      </c>
      <c r="I19" s="18">
        <f>基础数据表!G15</f>
        <v>58.5</v>
      </c>
      <c r="J19" s="18">
        <f>IF($B19="","",SUMIF(材料入库明细表!$G$4:$G$83,$B19,材料入库明细表!$K$4:$K$83))</f>
        <v>20900</v>
      </c>
      <c r="K19" s="18">
        <f t="shared" si="3"/>
        <v>1222650</v>
      </c>
      <c r="L19" s="31">
        <f>基础数据表!G15</f>
        <v>58.5</v>
      </c>
      <c r="M19" s="32">
        <f>IF($B19="","",SUMIF(本月领取情况记录表!$F$5:$F$49,$B19,本月领取情况记录表!$K$5:$K$49))</f>
        <v>355</v>
      </c>
      <c r="N19" s="32">
        <f t="shared" si="4"/>
        <v>20767.5</v>
      </c>
      <c r="O19" s="18">
        <f>基础数据表!G15</f>
        <v>58.5</v>
      </c>
      <c r="P19" s="33">
        <f t="shared" si="5"/>
        <v>20691</v>
      </c>
      <c r="Q19" s="34">
        <f t="shared" ref="Q19:Q25" si="10">O19*P19</f>
        <v>1210423.5</v>
      </c>
      <c r="R19" s="43">
        <f t="shared" si="8"/>
        <v>1</v>
      </c>
    </row>
    <row r="20" s="2" customFormat="1" ht="13" spans="2:18">
      <c r="B20" s="20" t="s">
        <v>63</v>
      </c>
      <c r="C20" s="18" t="str">
        <f>VLOOKUP(B20,[2]上月余额!A:F,2,FALSE)</f>
        <v>集成块</v>
      </c>
      <c r="D20" s="18" t="str">
        <f>VLOOKUP($B20,[2]上月余额!$A:$F,3,FALSE)</f>
        <v>AEu8120</v>
      </c>
      <c r="E20" s="18" t="str">
        <f>VLOOKUP($B20,[2]上月余额!$A:$F,4,FALSE)</f>
        <v>支</v>
      </c>
      <c r="F20" s="19">
        <v>75.6</v>
      </c>
      <c r="G20" s="19">
        <v>300</v>
      </c>
      <c r="H20" s="19">
        <v>22680</v>
      </c>
      <c r="I20" s="18">
        <f>基础数据表!G16</f>
        <v>75.6</v>
      </c>
      <c r="J20" s="18">
        <f>IF($B20="","",SUMIF(材料入库明细表!$G$4:$G$83,$B20,材料入库明细表!$K$4:$K$83))</f>
        <v>8660</v>
      </c>
      <c r="K20" s="18">
        <f t="shared" si="3"/>
        <v>654696</v>
      </c>
      <c r="L20" s="31">
        <f>基础数据表!G16</f>
        <v>75.6</v>
      </c>
      <c r="M20" s="32">
        <f>IF($B20="","",SUMIF(本月领取情况记录表!$F$5:$F$49,$B20,本月领取情况记录表!$K$5:$K$49))</f>
        <v>278</v>
      </c>
      <c r="N20" s="32">
        <f t="shared" ref="N20:N25" si="11">L20*M20</f>
        <v>21016.8</v>
      </c>
      <c r="O20" s="18">
        <f>基础数据表!G16</f>
        <v>75.6</v>
      </c>
      <c r="P20" s="33">
        <f t="shared" si="5"/>
        <v>8682</v>
      </c>
      <c r="Q20" s="34">
        <f t="shared" si="10"/>
        <v>656359.2</v>
      </c>
      <c r="R20" s="43">
        <f t="shared" si="8"/>
        <v>1</v>
      </c>
    </row>
    <row r="21" s="2" customFormat="1" ht="13" spans="2:18">
      <c r="B21" s="20" t="s">
        <v>67</v>
      </c>
      <c r="C21" s="18" t="str">
        <f>VLOOKUP(B21,[2]上月余额!A:F,2,FALSE)</f>
        <v>集成块</v>
      </c>
      <c r="D21" s="18" t="str">
        <f>VLOOKUP($B21,[2]上月余额!$A:$F,3,FALSE)</f>
        <v>AEu8141</v>
      </c>
      <c r="E21" s="18" t="str">
        <f>VLOOKUP($B21,[2]上月余额!$A:$F,4,FALSE)</f>
        <v>支</v>
      </c>
      <c r="F21" s="19">
        <v>124.85</v>
      </c>
      <c r="G21" s="19">
        <v>452</v>
      </c>
      <c r="H21" s="19">
        <v>56432.2</v>
      </c>
      <c r="I21" s="18">
        <f>基础数据表!G17</f>
        <v>124.85</v>
      </c>
      <c r="J21" s="18">
        <f>IF($B21="","",SUMIF(材料入库明细表!$G$4:$G$83,$B21,材料入库明细表!$K$4:$K$83))</f>
        <v>1000</v>
      </c>
      <c r="K21" s="18">
        <f t="shared" si="3"/>
        <v>124850</v>
      </c>
      <c r="L21" s="31">
        <f>基础数据表!G17</f>
        <v>124.85</v>
      </c>
      <c r="M21" s="32">
        <f>IF($B21="","",SUMIF(本月领取情况记录表!$F$5:$F$49,$B21,本月领取情况记录表!$K$5:$K$49))</f>
        <v>298</v>
      </c>
      <c r="N21" s="32">
        <f t="shared" si="11"/>
        <v>37205.3</v>
      </c>
      <c r="O21" s="18">
        <f>基础数据表!G17</f>
        <v>124.85</v>
      </c>
      <c r="P21" s="33">
        <f t="shared" si="5"/>
        <v>1154</v>
      </c>
      <c r="Q21" s="34">
        <f t="shared" si="10"/>
        <v>144076.9</v>
      </c>
      <c r="R21" s="43">
        <f t="shared" si="8"/>
        <v>1</v>
      </c>
    </row>
    <row r="22" s="2" customFormat="1" ht="13" spans="2:18">
      <c r="B22" s="20" t="s">
        <v>71</v>
      </c>
      <c r="C22" s="18" t="str">
        <f>VLOOKUP(B22,[2]上月余额!A:F,2,FALSE)</f>
        <v>集成块</v>
      </c>
      <c r="D22" s="18" t="str">
        <f>VLOOKUP($B22,[2]上月余额!$A:$F,3,FALSE)</f>
        <v>AEu8152</v>
      </c>
      <c r="E22" s="18" t="str">
        <f>VLOOKUP($B22,[2]上月余额!$A:$F,4,FALSE)</f>
        <v>支</v>
      </c>
      <c r="F22" s="19">
        <v>320</v>
      </c>
      <c r="G22" s="19">
        <v>125</v>
      </c>
      <c r="H22" s="19">
        <v>40000</v>
      </c>
      <c r="I22" s="18">
        <f>基础数据表!G18</f>
        <v>320</v>
      </c>
      <c r="J22" s="18">
        <f>IF($B22="","",SUMIF(材料入库明细表!$G$4:$G$83,$B22,材料入库明细表!$K$4:$K$83))</f>
        <v>6900</v>
      </c>
      <c r="K22" s="18">
        <f t="shared" si="3"/>
        <v>2208000</v>
      </c>
      <c r="L22" s="31">
        <f>基础数据表!G18</f>
        <v>320</v>
      </c>
      <c r="M22" s="32">
        <f>IF($B22="","",SUMIF(本月领取情况记录表!$F$5:$F$49,$B22,本月领取情况记录表!$K$5:$K$49))</f>
        <v>106</v>
      </c>
      <c r="N22" s="32">
        <f t="shared" si="11"/>
        <v>33920</v>
      </c>
      <c r="O22" s="18">
        <f>基础数据表!G18</f>
        <v>320</v>
      </c>
      <c r="P22" s="33">
        <f t="shared" si="5"/>
        <v>6919</v>
      </c>
      <c r="Q22" s="34">
        <f t="shared" si="10"/>
        <v>2214080</v>
      </c>
      <c r="R22" s="43">
        <f t="shared" si="8"/>
        <v>1</v>
      </c>
    </row>
    <row r="23" s="2" customFormat="1" ht="13" spans="2:18">
      <c r="B23" s="20" t="s">
        <v>75</v>
      </c>
      <c r="C23" s="18" t="str">
        <f>VLOOKUP(B23,[2]上月余额!A:F,2,FALSE)</f>
        <v>集成块</v>
      </c>
      <c r="D23" s="18" t="str">
        <f>VLOOKUP($B23,[2]上月余额!$A:$F,3,FALSE)</f>
        <v>AEu8143</v>
      </c>
      <c r="E23" s="18" t="str">
        <f>VLOOKUP($B23,[2]上月余额!$A:$F,4,FALSE)</f>
        <v>支</v>
      </c>
      <c r="F23" s="19">
        <v>70</v>
      </c>
      <c r="G23" s="19">
        <v>41</v>
      </c>
      <c r="H23" s="19">
        <v>2870</v>
      </c>
      <c r="I23" s="18">
        <f>基础数据表!G19</f>
        <v>70</v>
      </c>
      <c r="J23" s="18">
        <f>IF($B23="","",SUMIF(材料入库明细表!$G$4:$G$83,$B23,材料入库明细表!$K$4:$K$83))</f>
        <v>2120</v>
      </c>
      <c r="K23" s="18">
        <f t="shared" si="3"/>
        <v>148400</v>
      </c>
      <c r="L23" s="31">
        <f>基础数据表!G19</f>
        <v>70</v>
      </c>
      <c r="M23" s="32">
        <f>IF($B23="","",SUMIF(本月领取情况记录表!$F$5:$F$49,$B23,本月领取情况记录表!$K$5:$K$49))</f>
        <v>40</v>
      </c>
      <c r="N23" s="32">
        <f t="shared" si="11"/>
        <v>2800</v>
      </c>
      <c r="O23" s="18">
        <f>基础数据表!G19</f>
        <v>70</v>
      </c>
      <c r="P23" s="33">
        <f t="shared" si="5"/>
        <v>2121</v>
      </c>
      <c r="Q23" s="34">
        <f t="shared" si="10"/>
        <v>148470</v>
      </c>
      <c r="R23" s="43">
        <f t="shared" si="8"/>
        <v>1</v>
      </c>
    </row>
    <row r="24" s="2" customFormat="1" ht="13" spans="2:18">
      <c r="B24" s="20" t="s">
        <v>79</v>
      </c>
      <c r="C24" s="18" t="str">
        <f>VLOOKUP(B24,[2]上月余额!A:F,2,FALSE)</f>
        <v>集成块</v>
      </c>
      <c r="D24" s="18" t="str">
        <f>VLOOKUP($B24,[2]上月余额!$A:$F,3,FALSE)</f>
        <v>AEu9144</v>
      </c>
      <c r="E24" s="18" t="str">
        <f>VLOOKUP($B24,[2]上月余额!$A:$F,4,FALSE)</f>
        <v>支</v>
      </c>
      <c r="F24" s="19">
        <v>185</v>
      </c>
      <c r="G24" s="19">
        <v>50</v>
      </c>
      <c r="H24" s="19">
        <v>9250</v>
      </c>
      <c r="I24" s="18">
        <f>基础数据表!G20</f>
        <v>185</v>
      </c>
      <c r="J24" s="18">
        <f>IF($B24="","",SUMIF(材料入库明细表!$G$4:$G$83,$B24,材料入库明细表!$K$4:$K$83))</f>
        <v>4420</v>
      </c>
      <c r="K24" s="18">
        <f t="shared" si="3"/>
        <v>817700</v>
      </c>
      <c r="L24" s="31">
        <f>基础数据表!G20</f>
        <v>185</v>
      </c>
      <c r="M24" s="32">
        <f>IF($B24="","",SUMIF(本月领取情况记录表!$F$5:$F$49,$B24,本月领取情况记录表!$K$5:$K$49))</f>
        <v>65</v>
      </c>
      <c r="N24" s="32">
        <f t="shared" si="11"/>
        <v>12025</v>
      </c>
      <c r="O24" s="18">
        <f>基础数据表!G20</f>
        <v>185</v>
      </c>
      <c r="P24" s="33">
        <f t="shared" si="5"/>
        <v>4405</v>
      </c>
      <c r="Q24" s="34">
        <f t="shared" si="10"/>
        <v>814925</v>
      </c>
      <c r="R24" s="43">
        <f t="shared" si="8"/>
        <v>1</v>
      </c>
    </row>
    <row r="25" s="2" customFormat="1" ht="13" spans="2:18">
      <c r="B25" s="20" t="s">
        <v>83</v>
      </c>
      <c r="C25" s="18" t="str">
        <f>VLOOKUP(B25,[2]上月余额!A:F,2,FALSE)</f>
        <v>集成块</v>
      </c>
      <c r="D25" s="18" t="str">
        <f>VLOOKUP($B25,[2]上月余额!$A:$F,3,FALSE)</f>
        <v>AEu8145</v>
      </c>
      <c r="E25" s="18" t="str">
        <f>VLOOKUP($B25,[2]上月余额!$A:$F,4,FALSE)</f>
        <v>支</v>
      </c>
      <c r="F25" s="19">
        <v>412.5</v>
      </c>
      <c r="G25" s="19">
        <v>18</v>
      </c>
      <c r="H25" s="19">
        <v>7425</v>
      </c>
      <c r="I25" s="18">
        <f>基础数据表!G21</f>
        <v>412.5</v>
      </c>
      <c r="J25" s="18">
        <f>IF($B25="","",SUMIF(材料入库明细表!$G$4:$G$83,$B25,材料入库明细表!$K$4:$K$83))</f>
        <v>2820</v>
      </c>
      <c r="K25" s="18">
        <f t="shared" si="3"/>
        <v>1163250</v>
      </c>
      <c r="L25" s="31">
        <f>基础数据表!G21</f>
        <v>412.5</v>
      </c>
      <c r="M25" s="32">
        <f>IF($B25="","",SUMIF(本月领取情况记录表!$F$5:$F$49,$B25,本月领取情况记录表!$K$5:$K$49))</f>
        <v>131</v>
      </c>
      <c r="N25" s="32">
        <f t="shared" si="11"/>
        <v>54037.5</v>
      </c>
      <c r="O25" s="18">
        <f>基础数据表!G21</f>
        <v>412.5</v>
      </c>
      <c r="P25" s="33">
        <f t="shared" si="5"/>
        <v>2707</v>
      </c>
      <c r="Q25" s="34">
        <f t="shared" si="10"/>
        <v>1116637.5</v>
      </c>
      <c r="R25" s="43">
        <f t="shared" si="8"/>
        <v>1</v>
      </c>
    </row>
    <row r="26" s="2" customFormat="1" ht="13" spans="2:18">
      <c r="B26" s="20"/>
      <c r="C26" s="18"/>
      <c r="D26" s="18"/>
      <c r="E26" s="18"/>
      <c r="F26" s="21" t="str">
        <f>IF(B26="","",VLOOKUP($B26,[2]上月余额!$A:$F,6,FALSE))</f>
        <v/>
      </c>
      <c r="G26" s="21" t="str">
        <f>IF($B26="","",VLOOKUP($B26,[2]上月余额!$A:$F,5,FALSE))</f>
        <v/>
      </c>
      <c r="H26" s="19"/>
      <c r="I26" s="18"/>
      <c r="J26" s="18"/>
      <c r="K26" s="18"/>
      <c r="L26" s="31" t="str">
        <f>IF($B26="","",SUMIF([2]领料单!$F$5:$F$49,[2]材料进出存月报表!$B25,[2]领料单!$K$5:$K$49))</f>
        <v/>
      </c>
      <c r="M26" s="32"/>
      <c r="N26" s="32"/>
      <c r="O26" s="18" t="str">
        <f>IF(B26="","",F26+I26-L26)</f>
        <v/>
      </c>
      <c r="P26" s="34"/>
      <c r="Q26" s="34"/>
      <c r="R26" s="44"/>
    </row>
    <row r="27" s="2" customFormat="1" ht="13" spans="2:18">
      <c r="B27" s="20"/>
      <c r="C27" s="18"/>
      <c r="D27" s="18"/>
      <c r="E27" s="18"/>
      <c r="F27" s="21" t="str">
        <f>IF(B27="","",VLOOKUP($B27,[2]上月余额!$A:$F,6,FALSE))</f>
        <v/>
      </c>
      <c r="G27" s="19"/>
      <c r="H27" s="19"/>
      <c r="I27" s="18"/>
      <c r="J27" s="18"/>
      <c r="K27" s="18"/>
      <c r="L27" s="31"/>
      <c r="M27" s="32"/>
      <c r="N27" s="32"/>
      <c r="O27" s="18"/>
      <c r="P27" s="34"/>
      <c r="Q27" s="34"/>
      <c r="R27" s="44"/>
    </row>
    <row r="28" s="2" customFormat="1" ht="13.75" spans="2:18">
      <c r="B28" s="22"/>
      <c r="C28" s="23"/>
      <c r="D28" s="23"/>
      <c r="E28" s="23"/>
      <c r="F28" s="24"/>
      <c r="G28" s="25"/>
      <c r="H28" s="25"/>
      <c r="I28" s="23"/>
      <c r="J28" s="23"/>
      <c r="K28" s="23"/>
      <c r="L28" s="35"/>
      <c r="M28" s="36"/>
      <c r="N28" s="36"/>
      <c r="O28" s="23"/>
      <c r="P28" s="37"/>
      <c r="Q28" s="37"/>
      <c r="R28" s="45"/>
    </row>
    <row r="29" spans="13:14">
      <c r="M29" s="38"/>
      <c r="N29" s="38"/>
    </row>
  </sheetData>
  <mergeCells count="18">
    <mergeCell ref="B1:R1"/>
    <mergeCell ref="B2:D2"/>
    <mergeCell ref="E2:K2"/>
    <mergeCell ref="L2:N2"/>
    <mergeCell ref="O2:R2"/>
    <mergeCell ref="B3:D3"/>
    <mergeCell ref="E3:K3"/>
    <mergeCell ref="L3:N3"/>
    <mergeCell ref="B4:E4"/>
    <mergeCell ref="F4:H4"/>
    <mergeCell ref="I4:K4"/>
    <mergeCell ref="L4:N4"/>
    <mergeCell ref="O4:Q4"/>
    <mergeCell ref="F5:H5"/>
    <mergeCell ref="I5:K5"/>
    <mergeCell ref="L5:N5"/>
    <mergeCell ref="O5:Q5"/>
    <mergeCell ref="R4:R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雨林木风封装组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基础数据表</vt:lpstr>
      <vt:lpstr>材料入库明细表</vt:lpstr>
      <vt:lpstr>本月领取情况记录表</vt:lpstr>
      <vt:lpstr>材料进出库存月报表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123</cp:lastModifiedBy>
  <dcterms:created xsi:type="dcterms:W3CDTF">2012-06-07T09:04:00Z</dcterms:created>
  <dcterms:modified xsi:type="dcterms:W3CDTF">2020-11-15T04:34:45Z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